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9720" windowHeight="11685" tabRatio="876" activeTab="0"/>
  </bookViews>
  <sheets>
    <sheet name="Introducción" sheetId="1" r:id="rId1"/>
    <sheet name="Ingresos" sheetId="2" r:id="rId2"/>
    <sheet name="Costo de Ventas" sheetId="3" r:id="rId3"/>
    <sheet name="Gastos Fijos" sheetId="4" r:id="rId4"/>
    <sheet name="Salarios" sheetId="5" r:id="rId5"/>
    <sheet name="Inversiones" sheetId="6" r:id="rId6"/>
    <sheet name="Cobranzas y pagos" sheetId="7" state="hidden" r:id="rId7"/>
    <sheet name="Extraordinarios" sheetId="8" state="hidden" r:id="rId8"/>
    <sheet name="Impuestos" sheetId="9" r:id="rId9"/>
    <sheet name="Inventarios" sheetId="10" state="hidden" r:id="rId10"/>
    <sheet name="Financiamiento" sheetId="11" r:id="rId11"/>
    <sheet name="Valores de Inicio" sheetId="12" r:id="rId12"/>
    <sheet name="Resumen" sheetId="13" r:id="rId13"/>
    <sheet name="Graficos" sheetId="14" r:id="rId14"/>
    <sheet name="Flujo de Caja" sheetId="15" r:id="rId15"/>
    <sheet name="Estado Resultados" sheetId="16" r:id="rId16"/>
    <sheet name="Balance" sheetId="17" r:id="rId17"/>
    <sheet name="Flujo Caja Acumulado" sheetId="18" state="hidden" r:id="rId18"/>
    <sheet name="Indices" sheetId="19" r:id="rId19"/>
  </sheets>
  <definedNames/>
  <calcPr fullCalcOnLoad="1"/>
</workbook>
</file>

<file path=xl/comments11.xml><?xml version="1.0" encoding="utf-8"?>
<comments xmlns="http://schemas.openxmlformats.org/spreadsheetml/2006/main">
  <authors>
    <author>Emmanuel</author>
    <author>Emmanuel Guti?rrez Pizarro</author>
  </authors>
  <commentList>
    <comment ref="A3" authorId="0">
      <text>
        <r>
          <rPr>
            <b/>
            <sz val="8"/>
            <rFont val="Tahoma"/>
            <family val="2"/>
          </rPr>
          <t>En este ejemplo se suposo un financiamiento otorgado através de Inversión en acciones comunes. 
Otra opción a considerar, es una deuda a largo plazo o préstamo, por el que se devenguen intereses.</t>
        </r>
      </text>
    </comment>
    <comment ref="A1" authorId="0">
      <text>
        <r>
          <rPr>
            <b/>
            <sz val="8"/>
            <rFont val="Tahoma"/>
            <family val="2"/>
          </rPr>
          <t>¿Cómo se van a financiar los recursos o activos que requiere el negocio para sus operaciones?</t>
        </r>
      </text>
    </comment>
    <comment ref="A9" authorId="0">
      <text>
        <r>
          <rPr>
            <b/>
            <sz val="8"/>
            <rFont val="Tahoma"/>
            <family val="2"/>
          </rPr>
          <t xml:space="preserve">Deudas de todo tipo, que se cancelerán en menos de un año
Por ejemplo:
Cuentas por pagar, Pagarés con vencimiento menor a un año, letras de cambio,etc.
</t>
        </r>
      </text>
    </comment>
    <comment ref="A17" authorId="0">
      <text>
        <r>
          <rPr>
            <b/>
            <sz val="8"/>
            <rFont val="Tahoma"/>
            <family val="2"/>
          </rPr>
          <t>Toda deuda con un vencimiento mayor a un año.
Por ejemplo:
Préstamos bancarios, Hipotecas o Certificados de Prenda</t>
        </r>
        <r>
          <rPr>
            <sz val="8"/>
            <rFont val="Tahoma"/>
            <family val="2"/>
          </rPr>
          <t xml:space="preserve">
</t>
        </r>
      </text>
    </comment>
    <comment ref="A4" authorId="0">
      <text>
        <r>
          <rPr>
            <b/>
            <sz val="8"/>
            <rFont val="Tahoma"/>
            <family val="2"/>
          </rPr>
          <t>Aporte que darán los socios del negocio para constituir el Capital Social</t>
        </r>
        <r>
          <rPr>
            <sz val="8"/>
            <rFont val="Tahoma"/>
            <family val="2"/>
          </rPr>
          <t xml:space="preserve">
</t>
        </r>
      </text>
    </comment>
    <comment ref="A5" authorId="0">
      <text>
        <r>
          <rPr>
            <b/>
            <sz val="8"/>
            <rFont val="Tahoma"/>
            <family val="2"/>
          </rPr>
          <t xml:space="preserve">Pago de dividendos o retribuciones, una vez que se hayan obtenido utilidades </t>
        </r>
        <r>
          <rPr>
            <sz val="8"/>
            <rFont val="Tahoma"/>
            <family val="2"/>
          </rPr>
          <t xml:space="preserve">
</t>
        </r>
      </text>
    </comment>
    <comment ref="A11" authorId="1">
      <text>
        <r>
          <rPr>
            <b/>
            <sz val="9"/>
            <rFont val="Tahoma"/>
            <family val="2"/>
          </rPr>
          <t>La devolución del préstamo no es la cuota que se pague mes a mes. Es únicamente la parte de AMORTIZACIÓN que componte a esa cuota. 
Las cuotas bancarias están compuestas por una parte de AMORTIZACIÓN que debe ser colocada en esta línea. Y otra parte de INTERESES que debe ser colocada en el rubro de PAGO DE INTERESES, tres líneas abajo.
En caso de desconocer cómo calcular estos datos, investigar sobre plantillas en excel para el cálculo de una TABLA DE AMORTIZACIÓN de un préstamo, o bien solicitar esta información a la hora de pedir datos sobre un crédito en una entidad bancaria o financiera.</t>
        </r>
      </text>
    </comment>
    <comment ref="A19" authorId="1">
      <text>
        <r>
          <rPr>
            <b/>
            <sz val="9"/>
            <rFont val="Tahoma"/>
            <family val="2"/>
          </rPr>
          <t>La devolución del préstamo no es la cuota que se pague mes a mes. Es únicamente la parte de AMORTIZACIÓN que componte a esa cuota. 
Las cuotas bancarias están compuestas por una parte de AMORTIZACIÓN que debe ser colocada en esta línea. Y otra parte de INTERESES que debe ser colocada en el rubro de PAGO DE INTERESES, tres líneas abajo.
En caso de desconocer cómo calcular estos datos, investigar sobre plantillas en excel para el cálculo de una TABLA DE AMORTIZACIÓN de un préstamo, o bien solicitar esta información a la hora de pedir datos sobre un crédito en una entidad bancaria o financiera.</t>
        </r>
      </text>
    </comment>
  </commentList>
</comments>
</file>

<file path=xl/comments12.xml><?xml version="1.0" encoding="utf-8"?>
<comments xmlns="http://schemas.openxmlformats.org/spreadsheetml/2006/main">
  <authors>
    <author>Emmanuel</author>
    <author>Emmanuel Guti?rrez Pizarro</author>
  </authors>
  <commentList>
    <comment ref="A4" authorId="0">
      <text>
        <r>
          <rPr>
            <b/>
            <sz val="8"/>
            <rFont val="Tahoma"/>
            <family val="2"/>
          </rPr>
          <t>El total ACTIVO es igual al total PASIVO + PATRIMONIO</t>
        </r>
        <r>
          <rPr>
            <sz val="8"/>
            <rFont val="Tahoma"/>
            <family val="2"/>
          </rPr>
          <t xml:space="preserve">
</t>
        </r>
      </text>
    </comment>
    <comment ref="A3" authorId="1">
      <text>
        <r>
          <rPr>
            <b/>
            <sz val="9"/>
            <rFont val="Tahoma"/>
            <family val="2"/>
          </rPr>
          <t>Este cuadro SÓLO requiere ser llenado en caso de que el proyecto YA SE ENCUENTRE EN OPERACIONES y cuente con ESTADOS FINANCIEROS o recursos contabilizados.
Es decir, únicamente aplica para proyectos en CRECIMIENTO con datos contables presupuestados para el inicio de las proyecciones.</t>
        </r>
      </text>
    </comment>
  </commentList>
</comments>
</file>

<file path=xl/comments13.xml><?xml version="1.0" encoding="utf-8"?>
<comments xmlns="http://schemas.openxmlformats.org/spreadsheetml/2006/main">
  <authors>
    <author>Emmanuel</author>
  </authors>
  <commentList>
    <comment ref="C14" authorId="0">
      <text>
        <r>
          <rPr>
            <sz val="8"/>
            <rFont val="Tahoma"/>
            <family val="2"/>
          </rPr>
          <t xml:space="preserve">Es la tasa en que se recupera la inversión a lo largo del período del proyecto.
Si es mayor a la tasa de descuento, quiere decir que es conveniente invertir en el negocio.
</t>
        </r>
      </text>
    </comment>
    <comment ref="C25" authorId="0">
      <text>
        <r>
          <rPr>
            <b/>
            <sz val="8"/>
            <rFont val="Tahoma"/>
            <family val="2"/>
          </rPr>
          <t>El valor del negocio a futuro, descontado y traído al presente.
Debe ser mayor a 0 para que sea atractivo invertir en el negocio.</t>
        </r>
        <r>
          <rPr>
            <sz val="8"/>
            <rFont val="Tahoma"/>
            <family val="2"/>
          </rPr>
          <t xml:space="preserve">
</t>
        </r>
      </text>
    </comment>
    <comment ref="E27" authorId="0">
      <text>
        <r>
          <rPr>
            <b/>
            <sz val="8"/>
            <rFont val="Tahoma"/>
            <family val="2"/>
          </rPr>
          <t>Esta tasa se puede calcular con base al interés promedio que ofrecen los bancos por invertir en ahorros + una prima de riesgo. O bien, con base a la inflación dada por el BCCR+ una pequeña prima.
Por ejemplo:
Tasa de interés de Bancos Estatales = 6%
Prima de riesgo = 9%
Tasa de descuento = 15%</t>
        </r>
        <r>
          <rPr>
            <sz val="8"/>
            <rFont val="Tahoma"/>
            <family val="2"/>
          </rPr>
          <t xml:space="preserve">
</t>
        </r>
      </text>
    </comment>
  </commentList>
</comments>
</file>

<file path=xl/comments15.xml><?xml version="1.0" encoding="utf-8"?>
<comments xmlns="http://schemas.openxmlformats.org/spreadsheetml/2006/main">
  <authors>
    <author>Emmanuel</author>
  </authors>
  <commentList>
    <comment ref="A1" authorId="0">
      <text>
        <r>
          <rPr>
            <b/>
            <sz val="8"/>
            <rFont val="Tahoma"/>
            <family val="2"/>
          </rPr>
          <t>Muestra las entradas y salidas de efectivo surgidas por las diversas operaciones del negocio.</t>
        </r>
        <r>
          <rPr>
            <sz val="8"/>
            <rFont val="Tahoma"/>
            <family val="2"/>
          </rPr>
          <t xml:space="preserve">
También es llamado FLUJO DE EFECTIVO</t>
        </r>
      </text>
    </comment>
    <comment ref="A3" authorId="0">
      <text>
        <r>
          <rPr>
            <b/>
            <sz val="8"/>
            <rFont val="Tahoma"/>
            <family val="2"/>
          </rPr>
          <t>También llamado EFECTIVO INICIAL</t>
        </r>
      </text>
    </comment>
  </commentList>
</comments>
</file>

<file path=xl/comments16.xml><?xml version="1.0" encoding="utf-8"?>
<comments xmlns="http://schemas.openxmlformats.org/spreadsheetml/2006/main">
  <authors>
    <author>Emmanuel</author>
  </authors>
  <commentList>
    <comment ref="A12" authorId="0">
      <text>
        <r>
          <rPr>
            <b/>
            <sz val="8"/>
            <rFont val="Tahoma"/>
            <family val="2"/>
          </rPr>
          <t>También llamadas Depreciaciones</t>
        </r>
      </text>
    </comment>
    <comment ref="A16" authorId="0">
      <text>
        <r>
          <rPr>
            <b/>
            <sz val="8"/>
            <rFont val="Tahoma"/>
            <family val="2"/>
          </rPr>
          <t>Se calculan según la utilidad o resultado antes de impuesto</t>
        </r>
        <r>
          <rPr>
            <sz val="8"/>
            <rFont val="Tahoma"/>
            <family val="2"/>
          </rPr>
          <t xml:space="preserve">
</t>
        </r>
      </text>
    </comment>
  </commentList>
</comments>
</file>

<file path=xl/comments19.xml><?xml version="1.0" encoding="utf-8"?>
<comments xmlns="http://schemas.openxmlformats.org/spreadsheetml/2006/main">
  <authors>
    <author>Emmanuel</author>
  </authors>
  <commentList>
    <comment ref="A1" authorId="0">
      <text>
        <r>
          <rPr>
            <b/>
            <sz val="8"/>
            <rFont val="Tahoma"/>
            <family val="2"/>
          </rPr>
          <t>Son indicadores o razones financieras  que muestran en varios aspectos la posición financiera que se proyecta para el negocio</t>
        </r>
        <r>
          <rPr>
            <sz val="8"/>
            <rFont val="Tahoma"/>
            <family val="2"/>
          </rPr>
          <t xml:space="preserve">
</t>
        </r>
      </text>
    </comment>
    <comment ref="A20" authorId="0">
      <text>
        <r>
          <rPr>
            <b/>
            <sz val="8"/>
            <rFont val="Tahoma"/>
            <family val="2"/>
          </rPr>
          <t>Estos datos son importantes y sintetizan todo el plan financiero</t>
        </r>
        <r>
          <rPr>
            <sz val="8"/>
            <rFont val="Tahoma"/>
            <family val="2"/>
          </rPr>
          <t xml:space="preserve">
</t>
        </r>
      </text>
    </comment>
  </commentList>
</comments>
</file>

<file path=xl/comments2.xml><?xml version="1.0" encoding="utf-8"?>
<comments xmlns="http://schemas.openxmlformats.org/spreadsheetml/2006/main">
  <authors>
    <author>Emmanuel</author>
  </authors>
  <commentList>
    <comment ref="A3" authorId="0">
      <text>
        <r>
          <rPr>
            <b/>
            <sz val="8"/>
            <rFont val="Tahoma"/>
            <family val="2"/>
          </rPr>
          <t>Cantidad de unidades por vender en forma mensual. En caso de ser una empresa de servicios, proyectar cada unidad de servicio y su precio correspondiente. 
Por ejemplo, horas de consultorías proyectadas y el precio de venta de cada hora. Otro ejemplo: paquetes de viaje y el precio de cada paquete.</t>
        </r>
      </text>
    </comment>
    <comment ref="A4" authorId="0">
      <text>
        <r>
          <rPr>
            <sz val="8"/>
            <rFont val="Tahoma"/>
            <family val="2"/>
          </rPr>
          <t>El precio se puede fijar con dos métodos:
1. Con base al mercado: (¿cuánto están dispuestos a pagar los clientes?) ;relación demanda-oferta
2. Con base al costo: la fórmula para determinar el precio de venta con base al costo requiere que se cuente con el dato del costo de fabricación por cada unidad que se produzca, o en el caso de los servicios, por cada hora o paquete de servicio. La fórmula es la siguiente: costo unitario x (1 + porcentaje de margen de ganancia)
Por ejemplo, un producto con un costo unitario de 1,000 colones que quiere vender con un 50% de ganancia, al calcular su precio de venta se desarrollaría de la siguiente forma:
1,000 X (1+50%) = 1,500 colones.</t>
        </r>
      </text>
    </comment>
    <comment ref="A1" authorId="0">
      <text>
        <r>
          <rPr>
            <sz val="8"/>
            <rFont val="Tahoma"/>
            <family val="2"/>
          </rPr>
          <t xml:space="preserve">Ventas de productos o servicios realizadas por el negocio, sin importar que sean a contado o a crédito
</t>
        </r>
      </text>
    </comment>
    <comment ref="A7" authorId="0">
      <text>
        <r>
          <rPr>
            <b/>
            <sz val="8"/>
            <rFont val="Tahoma"/>
            <family val="2"/>
          </rPr>
          <t>En este ejemplo se muestra un solo producto. En caso de proyectar más, el cálculo de los ingresos sería el mismo: precio fijado x número de unidades vendidas. Si se proyecta vender una gran cantidad de productos, se pueden se pueden simplificar en la proyección de únicamente líneas de productos o bien, realizar un promedio de precios y unidades por vender.</t>
        </r>
      </text>
    </comment>
  </commentList>
</comments>
</file>

<file path=xl/comments3.xml><?xml version="1.0" encoding="utf-8"?>
<comments xmlns="http://schemas.openxmlformats.org/spreadsheetml/2006/main">
  <authors>
    <author>Emmanuel</author>
    <author>Emmanuel Guti?rrez Pizarro</author>
  </authors>
  <commentList>
    <comment ref="A5" authorId="0">
      <text>
        <r>
          <rPr>
            <b/>
            <sz val="8"/>
            <rFont val="Tahoma"/>
            <family val="2"/>
          </rPr>
          <t>Insumos o materiales que son totalemente necesarios para fabricar el producto, sin estos sería imposible fabricar el bien ya que no pueden ser fácilmente remplazados. Deben ser materiales directamente relacionados; es decir que sea posible identificarlos. Un ejemplo es la harina para fabricar repostería o el cuero usado para producir calzado.</t>
        </r>
        <r>
          <rPr>
            <sz val="8"/>
            <rFont val="Tahoma"/>
            <family val="2"/>
          </rPr>
          <t xml:space="preserve">
</t>
        </r>
      </text>
    </comment>
    <comment ref="A6" authorId="0">
      <text>
        <r>
          <rPr>
            <b/>
            <sz val="8"/>
            <rFont val="Tahoma"/>
            <family val="2"/>
          </rPr>
          <t>Operarios u obreros que participan directamente en la elaboración del producto. Es el salario de las personas que trabajan directamente en el proceso de fabricación, NO incluye personas que supervisan, administran o colaboran de forma indirecta al proceso fabril, tales como Gerentes de Producción, Misceláneos y Supervisores.</t>
        </r>
      </text>
    </comment>
    <comment ref="A7" authorId="0">
      <text>
        <r>
          <rPr>
            <b/>
            <sz val="8"/>
            <rFont val="Tahoma"/>
            <family val="2"/>
          </rPr>
          <t>Costos que no están relacionados directamente con la producción. Por ejemplo, la Mano de Obra Indirecta (salarios de supervisores, gerentes de producción, misceláneos, empacadores, etc.), los Materiales Indirectos (materiales sustituibles o muy difíciles de identificar como el hilo en una prenda de vestir) y otros costos como la electricidad, el agua o el alquiler del espacio para realizar el proceso de fabricación.</t>
        </r>
      </text>
    </comment>
    <comment ref="A1" authorId="0">
      <text>
        <r>
          <rPr>
            <b/>
            <sz val="8"/>
            <rFont val="Tahoma"/>
            <family val="2"/>
          </rPr>
          <t>Salidas requeridas para las labores de manufactura del producto. Es decir, sólo se incluyen los costos que se incurren en el proceso de FABRICACIÓN. 
NO SE INCLUYEN gastos de "oficina" o administrativos, gastos de ventas o comercialización ni tampoco gastos financieros como los interes.</t>
        </r>
        <r>
          <rPr>
            <sz val="8"/>
            <rFont val="Tahoma"/>
            <family val="2"/>
          </rPr>
          <t xml:space="preserve">
</t>
        </r>
      </text>
    </comment>
    <comment ref="A4" authorId="0">
      <text>
        <r>
          <rPr>
            <b/>
            <sz val="8"/>
            <rFont val="Tahoma"/>
            <family val="2"/>
          </rPr>
          <t>En este ejemplo, se muestran los costos propios de una empresa manufacturera. Todo producto, sin importar su origen o uso, está compuesto de tres elementos de costo:
1. Materia prima
2. Mano de Obra
3. Costos Indirectos de Fabricación</t>
        </r>
        <r>
          <rPr>
            <sz val="8"/>
            <rFont val="Tahoma"/>
            <family val="2"/>
          </rPr>
          <t xml:space="preserve">
</t>
        </r>
      </text>
    </comment>
    <comment ref="A11" authorId="0">
      <text>
        <r>
          <rPr>
            <b/>
            <sz val="8"/>
            <rFont val="Tahoma"/>
            <family val="2"/>
          </rPr>
          <t>Al igual que en los ingresos, en este ejemplo sólo se incluyen los datos de un producto. En caso de planear producir y vender varios, se replica el procedimiento del producto "X" para determinar el total costos de ventas</t>
        </r>
        <r>
          <rPr>
            <sz val="8"/>
            <rFont val="Tahoma"/>
            <family val="2"/>
          </rPr>
          <t xml:space="preserve">
</t>
        </r>
      </text>
    </comment>
    <comment ref="A8" authorId="0">
      <text>
        <r>
          <rPr>
            <b/>
            <sz val="8"/>
            <rFont val="Tahoma"/>
            <family val="2"/>
          </rPr>
          <t>En este caso representa el costo unitario de fabricación.</t>
        </r>
      </text>
    </comment>
    <comment ref="A3" authorId="1">
      <text>
        <r>
          <rPr>
            <b/>
            <sz val="8"/>
            <rFont val="Tahoma"/>
            <family val="2"/>
          </rPr>
          <t xml:space="preserve">Recordar que los costos que se desglosarán a continuación son propuestos. Pueden modificarse o detallarse más, según el perfil del proyecto. Los costos de Materiales, Mano de Obra y Costos Indirectos están expresados en valores UNITARIOS, es decir, por unidad producida. </t>
        </r>
      </text>
    </comment>
  </commentList>
</comments>
</file>

<file path=xl/comments4.xml><?xml version="1.0" encoding="utf-8"?>
<comments xmlns="http://schemas.openxmlformats.org/spreadsheetml/2006/main">
  <authors>
    <author>Emmanuel</author>
  </authors>
  <commentList>
    <comment ref="A5" authorId="0">
      <text>
        <r>
          <rPr>
            <b/>
            <sz val="8"/>
            <rFont val="Tahoma"/>
            <family val="2"/>
          </rPr>
          <t>Gastos relacionados con las labores de mercadeo del producto. Ej: fletes sobre ventas, comisiones o salarios de vendedores, pago de pautas publicitarias.</t>
        </r>
      </text>
    </comment>
    <comment ref="A8" authorId="0">
      <text>
        <r>
          <rPr>
            <b/>
            <sz val="8"/>
            <rFont val="Tahoma"/>
            <family val="2"/>
          </rPr>
          <t xml:space="preserve">Gastos relacionados con las labores administrativas. Ej: papelería, gastos generales o gastos por servicios recibidos. También se incluyen los gastos por servicios públicos </t>
        </r>
      </text>
    </comment>
    <comment ref="A1" authorId="0">
      <text>
        <r>
          <rPr>
            <b/>
            <sz val="8"/>
            <rFont val="Tahoma"/>
            <family val="2"/>
          </rPr>
          <t>También llamados gastos operativos. Se componen de gastos de ventas o comerciales y de gastos administrativos.
Estos gastos NO están relacionados con las actividades de manufactura o producción de los artículos.</t>
        </r>
        <r>
          <rPr>
            <sz val="8"/>
            <rFont val="Tahoma"/>
            <family val="2"/>
          </rPr>
          <t xml:space="preserve">
</t>
        </r>
      </text>
    </comment>
  </commentList>
</comments>
</file>

<file path=xl/comments5.xml><?xml version="1.0" encoding="utf-8"?>
<comments xmlns="http://schemas.openxmlformats.org/spreadsheetml/2006/main">
  <authors>
    <author>Emmanuel</author>
  </authors>
  <commentList>
    <comment ref="A1" authorId="0">
      <text>
        <r>
          <rPr>
            <b/>
            <sz val="8"/>
            <rFont val="Tahoma"/>
            <family val="2"/>
          </rPr>
          <t>En la página web del Ministerio de Trabajo y Seguridad Social se pueden consultar los salarios mínimos vigentes</t>
        </r>
      </text>
    </comment>
    <comment ref="A7" authorId="0">
      <text>
        <r>
          <rPr>
            <b/>
            <sz val="8"/>
            <rFont val="Tahoma"/>
            <family val="2"/>
          </rPr>
          <t>Área involucrada en las labores de venta, promoción y distribución del producto o servicio</t>
        </r>
        <r>
          <rPr>
            <sz val="8"/>
            <rFont val="Tahoma"/>
            <family val="2"/>
          </rPr>
          <t xml:space="preserve">
</t>
        </r>
      </text>
    </comment>
    <comment ref="A13" authorId="0">
      <text>
        <r>
          <rPr>
            <b/>
            <sz val="8"/>
            <rFont val="Tahoma"/>
            <family val="2"/>
          </rPr>
          <t>Se encarga de registrar las operaciones económicas de la compañía y presenta esa información para su análisis como base en la toma de decisiones administrativas y financieras</t>
        </r>
        <r>
          <rPr>
            <sz val="8"/>
            <rFont val="Tahoma"/>
            <family val="2"/>
          </rPr>
          <t xml:space="preserve">
</t>
        </r>
      </text>
    </comment>
    <comment ref="A17" authorId="0">
      <text>
        <r>
          <rPr>
            <b/>
            <sz val="8"/>
            <rFont val="Tahoma"/>
            <family val="2"/>
          </rPr>
          <t>Salario de los diferentes gerentes o administradores del negocio en las diferentes áreas o departamentos</t>
        </r>
      </text>
    </comment>
  </commentList>
</comments>
</file>

<file path=xl/comments6.xml><?xml version="1.0" encoding="utf-8"?>
<comments xmlns="http://schemas.openxmlformats.org/spreadsheetml/2006/main">
  <authors>
    <author>Emmanuel</author>
    <author>Emmanuel Guti?rrez Pizarro</author>
  </authors>
  <commentList>
    <comment ref="A1" authorId="0">
      <text>
        <r>
          <rPr>
            <b/>
            <sz val="8"/>
            <rFont val="Tahoma"/>
            <family val="2"/>
          </rPr>
          <t>Son los recursos que necesita la empresa para sus operaciones, es decir sus activos. No se incluyen los costos ni los gastos.
Si se planea invertir en Investigación y Desarrollo o en patentizar el producto o proceso de producción, se debe incluir el monto de esta inversión dentro de una categoría denominada "Activos Intangibles"</t>
        </r>
        <r>
          <rPr>
            <sz val="8"/>
            <rFont val="Tahoma"/>
            <family val="2"/>
          </rPr>
          <t xml:space="preserve">
</t>
        </r>
      </text>
    </comment>
    <comment ref="A2" authorId="0">
      <text>
        <r>
          <rPr>
            <b/>
            <sz val="8"/>
            <rFont val="Tahoma"/>
            <family val="2"/>
          </rPr>
          <t>También se pueden incluir activos como edificios, terrenos y vehículos, entre otros</t>
        </r>
        <r>
          <rPr>
            <sz val="8"/>
            <rFont val="Tahoma"/>
            <family val="2"/>
          </rPr>
          <t xml:space="preserve">
</t>
        </r>
      </text>
    </comment>
    <comment ref="AC36" authorId="0">
      <text>
        <r>
          <rPr>
            <b/>
            <sz val="8"/>
            <rFont val="Tahoma"/>
            <family val="2"/>
          </rPr>
          <t>Años estimados de vida útil para el activo</t>
        </r>
        <r>
          <rPr>
            <sz val="8"/>
            <rFont val="Tahoma"/>
            <family val="2"/>
          </rPr>
          <t xml:space="preserve">
</t>
        </r>
      </text>
    </comment>
    <comment ref="AD36" authorId="0">
      <text>
        <r>
          <rPr>
            <b/>
            <sz val="8"/>
            <rFont val="Tahoma"/>
            <family val="2"/>
          </rPr>
          <t>Porcentaje del valor original del activo, al que se puede vender una vez acabe su vida útil.
Por ejemplo, una computadora cuesta $1000 y tiene una vida útil de 5 años y un valor residual del 10%. Eso quiere decir que después de 5 años, se podría vender esa computadora a un 10% del precio original, es decir, $100.</t>
        </r>
        <r>
          <rPr>
            <sz val="8"/>
            <rFont val="Tahoma"/>
            <family val="2"/>
          </rPr>
          <t xml:space="preserve">
</t>
        </r>
      </text>
    </comment>
    <comment ref="A14" authorId="0">
      <text>
        <r>
          <rPr>
            <b/>
            <sz val="8"/>
            <rFont val="Tahoma"/>
            <family val="2"/>
          </rPr>
          <t>Depreciaciones y/o amortizaciones de los activos que se planean adquirir. 
El método utilizado en este ejemplo es el de "Línea recta". En este, al monto del activo se le resta su valor residual, y se divide entre los años de vida útil que posee. Esto da como resultado la amortización anual. Al pasarla a mensual, esta es dividida entre 12</t>
        </r>
        <r>
          <rPr>
            <sz val="8"/>
            <rFont val="Tahoma"/>
            <family val="2"/>
          </rPr>
          <t xml:space="preserve">
</t>
        </r>
      </text>
    </comment>
    <comment ref="A15" authorId="1">
      <text>
        <r>
          <rPr>
            <b/>
            <sz val="9"/>
            <rFont val="Tahoma"/>
            <family val="2"/>
          </rPr>
          <t>Los montos de la depreciación de cada activo se encuentran automáticamente calculados. No es necesario modificarlos.</t>
        </r>
      </text>
    </comment>
  </commentList>
</comments>
</file>

<file path=xl/comments9.xml><?xml version="1.0" encoding="utf-8"?>
<comments xmlns="http://schemas.openxmlformats.org/spreadsheetml/2006/main">
  <authors>
    <author>Emmanuel</author>
  </authors>
  <commentList>
    <comment ref="A12" authorId="0">
      <text>
        <r>
          <rPr>
            <b/>
            <sz val="8"/>
            <rFont val="Tahoma"/>
            <family val="2"/>
          </rPr>
          <t xml:space="preserve">El cálculo de la tasa del impuesto sobre la renta que corresponde a su negocio lo puede encontrar en el sitio web del Ministerio de Hacienda </t>
        </r>
        <r>
          <rPr>
            <sz val="8"/>
            <rFont val="Tahoma"/>
            <family val="2"/>
          </rPr>
          <t xml:space="preserve">
</t>
        </r>
      </text>
    </comment>
  </commentList>
</comments>
</file>

<file path=xl/sharedStrings.xml><?xml version="1.0" encoding="utf-8"?>
<sst xmlns="http://schemas.openxmlformats.org/spreadsheetml/2006/main" count="402" uniqueCount="256">
  <si>
    <t>Deuda largo plazo</t>
  </si>
  <si>
    <t>Cuentas a pagar al inicio</t>
  </si>
  <si>
    <t>Caja / Activo</t>
  </si>
  <si>
    <t>Flujo de caja del negocio</t>
  </si>
  <si>
    <t>Variación cuentas a pagar</t>
  </si>
  <si>
    <t>Punto de equilibrio</t>
  </si>
  <si>
    <t>Mes de inicio</t>
  </si>
  <si>
    <t>Variación cuentas a cobrar</t>
  </si>
  <si>
    <t>Tasa de descuento</t>
  </si>
  <si>
    <t>Sueldos a contado</t>
  </si>
  <si>
    <t>Gastos Comerciales</t>
  </si>
  <si>
    <t>El negocio no requiere inversión</t>
  </si>
  <si>
    <t>Numero de mes</t>
  </si>
  <si>
    <t>Plazo promedio de cobranza</t>
  </si>
  <si>
    <t>Comercial</t>
  </si>
  <si>
    <t>Préstamos</t>
  </si>
  <si>
    <t>Total pagos a plazo</t>
  </si>
  <si>
    <t>VAN sin perpetuidad</t>
  </si>
  <si>
    <t>CAJA INICIAL</t>
  </si>
  <si>
    <t>Deudas de largo plazo</t>
  </si>
  <si>
    <t>Inversiones</t>
  </si>
  <si>
    <t>Crédito fiscal IVA</t>
  </si>
  <si>
    <t>Precio</t>
  </si>
  <si>
    <t>Saldo final</t>
  </si>
  <si>
    <t>Días promedio de pago</t>
  </si>
  <si>
    <t>Cantidad empleados</t>
  </si>
  <si>
    <t>Tasa descuento</t>
  </si>
  <si>
    <t>Cantidad  días de venta que se podrían cubrir con inventarios</t>
  </si>
  <si>
    <t>Evolución de saldos al inicio</t>
  </si>
  <si>
    <t>RENTABILIDAD DEL NEGOCIO (TIR)</t>
  </si>
  <si>
    <t>Máquina X</t>
  </si>
  <si>
    <t>Máquinas y herramientas</t>
  </si>
  <si>
    <t>Materiales directos</t>
  </si>
  <si>
    <t>Rentabilidad sobre activos (ROA)</t>
  </si>
  <si>
    <t>Deudas de corto plazo</t>
  </si>
  <si>
    <t>Año de inicio</t>
  </si>
  <si>
    <t>Saldo a favor IVA</t>
  </si>
  <si>
    <t>IVA compras</t>
  </si>
  <si>
    <t>Total pagos a contado</t>
  </si>
  <si>
    <t>Impuesto devengado</t>
  </si>
  <si>
    <t>Deuda financiera de corto plazo / deuda financiera total</t>
  </si>
  <si>
    <t>Rentabilidad sobre patrimonio neto (ROE)</t>
  </si>
  <si>
    <t>Saldo a favor del impuesto</t>
  </si>
  <si>
    <t>Variacion saldo a favor del impuesto</t>
  </si>
  <si>
    <t>Tasa</t>
  </si>
  <si>
    <t>Retiros de los dueños</t>
  </si>
  <si>
    <t>Ventas</t>
  </si>
  <si>
    <t>Mobiliario y Equipo</t>
  </si>
  <si>
    <t>Amortizaciones</t>
  </si>
  <si>
    <t>Variación de inventarios</t>
  </si>
  <si>
    <t>Pagos a contado</t>
  </si>
  <si>
    <t>Flujo de caja libre</t>
  </si>
  <si>
    <t>Cálculo hoja Evaluación: Plazo para break even</t>
  </si>
  <si>
    <t>Otros gastos fijos</t>
  </si>
  <si>
    <t>Valor neto al fin</t>
  </si>
  <si>
    <t>Dias de inventario</t>
  </si>
  <si>
    <t>Impuestos</t>
  </si>
  <si>
    <t>Mes de cobranza</t>
  </si>
  <si>
    <t>TOTAL IMPUESTOS</t>
  </si>
  <si>
    <t>Subsidios y donaciones</t>
  </si>
  <si>
    <t>Impuesto a pagar</t>
  </si>
  <si>
    <t>TIR ácida sin perpetuidad</t>
  </si>
  <si>
    <t>FF para cálculo VAN y TIR</t>
  </si>
  <si>
    <t>Saldo deuda corto plazo</t>
  </si>
  <si>
    <t>Saldo de caja del negocio</t>
  </si>
  <si>
    <t>Plazo de pago (días)</t>
  </si>
  <si>
    <t>Comparable 2</t>
  </si>
  <si>
    <t xml:space="preserve">Los valores monetarios se encuentran expresados en </t>
  </si>
  <si>
    <t>VAN con perpetuidad</t>
  </si>
  <si>
    <t>ACTIVO</t>
  </si>
  <si>
    <t>Activos fijos</t>
  </si>
  <si>
    <t>Días promedio de inventario</t>
  </si>
  <si>
    <t>Balance de inicio</t>
  </si>
  <si>
    <t>Representa la caja que genera o consume el negocio a un momento dado sin tener en cuenta el financiamiento. De esta forma se puede ver qué tan atractivo es el negocio en sí mismo, independientemente de cómo se financia.</t>
  </si>
  <si>
    <t>Remuneración total</t>
  </si>
  <si>
    <t>Comparable 4</t>
  </si>
  <si>
    <t>Inversión en activos fijos</t>
  </si>
  <si>
    <t>TOTAL AMORTIZACIONES</t>
  </si>
  <si>
    <t>Amortizacion de activos fijos iniciales</t>
  </si>
  <si>
    <t>TOTAL GASTOS FIJOS</t>
  </si>
  <si>
    <t>El VAN (Valor Actual Neto) es una fórmula que calcula el valor de un negocio en base a su flujo de caja y la tasa de descuento.</t>
  </si>
  <si>
    <t>Ventas a contado</t>
  </si>
  <si>
    <t>Representa la ganancia (o pérdida) que genera el negocio a lo largo de los 5 años.</t>
  </si>
  <si>
    <t>Activo corriente</t>
  </si>
  <si>
    <t>Finanzas y Administración</t>
  </si>
  <si>
    <t>Activos</t>
  </si>
  <si>
    <t>TOTAL CUENTAS POR COBRAR</t>
  </si>
  <si>
    <t>Equipo de cómputo</t>
  </si>
  <si>
    <t>Devolución de préstamos</t>
  </si>
  <si>
    <t>Meses/Años de FCL Acumulado negativo</t>
  </si>
  <si>
    <t>Plazo promedio de pago</t>
  </si>
  <si>
    <t>Financiamiento</t>
  </si>
  <si>
    <t>TIR con perpetuidad</t>
  </si>
  <si>
    <t>Total costos de insumos</t>
  </si>
  <si>
    <t>TOTAL INGRESOS</t>
  </si>
  <si>
    <t>Contador</t>
  </si>
  <si>
    <t>Considera que el flujo de caja del negocio finaliza al año 5.</t>
  </si>
  <si>
    <t>INDICES DE RENTABILIDAD</t>
  </si>
  <si>
    <t>Total costos de ventas Producto X</t>
  </si>
  <si>
    <t>Flujo de caja de los dueños</t>
  </si>
  <si>
    <t>Activo no corriente</t>
  </si>
  <si>
    <t>Cuentas a cobrar</t>
  </si>
  <si>
    <t>Muestra los fondos que se necesitan en cada período para que la caja no termine con un saldo negativo.</t>
  </si>
  <si>
    <t>Es la tasa a la que se descuenta el flujo de caja para calcular el VAN.</t>
  </si>
  <si>
    <t>Creditos fiscales</t>
  </si>
  <si>
    <t>Patrimonio neto</t>
  </si>
  <si>
    <t>Costo de insumos</t>
  </si>
  <si>
    <t>TIR sin perpetuidad</t>
  </si>
  <si>
    <t>Ingresos y egresos extraordinarios</t>
  </si>
  <si>
    <t>Variación creditos fiscales</t>
  </si>
  <si>
    <t>Representa la caja que genera o consume el negocio sin tener en cuenta el financiamiento. De esta forma se puede ver qué tan atractivo es el negocio en sí mismo.</t>
  </si>
  <si>
    <t>GANANCIA TOTAL DEL NEGOCIO</t>
  </si>
  <si>
    <t>Agente de ventas</t>
  </si>
  <si>
    <t>Insumo</t>
  </si>
  <si>
    <t>TIR ácida con perpetuidad</t>
  </si>
  <si>
    <t>Máquina Y</t>
  </si>
  <si>
    <t>Inventarios</t>
  </si>
  <si>
    <t>Amortizaciones acumuladas</t>
  </si>
  <si>
    <t>DATOS FINANCIEROS</t>
  </si>
  <si>
    <t>TOTAL EXTRAORDINARIOS</t>
  </si>
  <si>
    <t>Cuentas a pagar</t>
  </si>
  <si>
    <t>Proyección de pago</t>
  </si>
  <si>
    <t>Saldo deuda largo plazo</t>
  </si>
  <si>
    <t>Caja generada por operaciones</t>
  </si>
  <si>
    <t>Inversion en capital de trabajo</t>
  </si>
  <si>
    <t>TOTAL CUENTAS POR PAGAR</t>
  </si>
  <si>
    <t>Saldo al inicio</t>
  </si>
  <si>
    <t>Comisiones de ventas</t>
  </si>
  <si>
    <t>Pago de intereses</t>
  </si>
  <si>
    <t>Mobiliario de oficina</t>
  </si>
  <si>
    <t>Días promedio de cobranza</t>
  </si>
  <si>
    <t>TOTAL FINANCIAMIENTO</t>
  </si>
  <si>
    <t>Resultado neto</t>
  </si>
  <si>
    <t>Son los meses que necesita el negocio para estar en condiciones de devolver el financiamiento necesario.</t>
  </si>
  <si>
    <t>Saldo pendiente de cobro al fin</t>
  </si>
  <si>
    <t>La TIR (Tasa Interna de Retorno) es una fórmula que calcula la rentabilidad de un negocio en base a su flujo de caja.</t>
  </si>
  <si>
    <t>Margen bruto</t>
  </si>
  <si>
    <t>Gerencia General</t>
  </si>
  <si>
    <t>Pagos</t>
  </si>
  <si>
    <t>INDICES OPERATIVOS</t>
  </si>
  <si>
    <t>Considera: a) que las inversiones necesarias en cada año se realizan al inicio de ese año; y b) que el flujo de caja del año 5 se repite a perpetuidad en los años posteriores.</t>
  </si>
  <si>
    <t>Resultado neto / Ventas</t>
  </si>
  <si>
    <t>Ventas a plazo</t>
  </si>
  <si>
    <t>SUBSIDIOS Y DONACIONES</t>
  </si>
  <si>
    <t>Caja</t>
  </si>
  <si>
    <t>Representa la caja que genera o consume el negocio, considerando el financiamiento que éste recibe.</t>
  </si>
  <si>
    <t>Variacion saldo a favor IVA</t>
  </si>
  <si>
    <t>TOTAL INVENTARIOS</t>
  </si>
  <si>
    <t>Pagos a plazo</t>
  </si>
  <si>
    <t>IVA</t>
  </si>
  <si>
    <t>Publicidad</t>
  </si>
  <si>
    <t>ANÁLISIS DEL NEGOCIO</t>
  </si>
  <si>
    <t>VALOR DEL NEGOCIO (VAN)</t>
  </si>
  <si>
    <t>MESES PARA PODER DEVOLVER EL FINANCIAMIENTO</t>
  </si>
  <si>
    <t>Salarios</t>
  </si>
  <si>
    <t>No existe la TIR</t>
  </si>
  <si>
    <t>Deuda financiera de corto plazo</t>
  </si>
  <si>
    <t>Proyección de cobro</t>
  </si>
  <si>
    <t>Considera que el flujo de caja del año 5 se repite a perpetuidad en los años posteriores.</t>
  </si>
  <si>
    <t>Acumulado Flujo de Caja Libre</t>
  </si>
  <si>
    <t>Total egresos operativos</t>
  </si>
  <si>
    <t>Administradores</t>
  </si>
  <si>
    <t>CAJA FINAL</t>
  </si>
  <si>
    <t>Comparable 3</t>
  </si>
  <si>
    <t>Gastos fijos</t>
  </si>
  <si>
    <t>Cantidad</t>
  </si>
  <si>
    <t>IMPUESTO A LA RENTA / A LAS GANANCIAS</t>
  </si>
  <si>
    <t>Inventarios al inicio</t>
  </si>
  <si>
    <t>Cuentas a cobrar al inicio</t>
  </si>
  <si>
    <t>Plazo de cobranza (días)</t>
  </si>
  <si>
    <t>Deuda financiera / Activos</t>
  </si>
  <si>
    <t>DEUDA DE LARGO PLAZO</t>
  </si>
  <si>
    <t>Moneda</t>
  </si>
  <si>
    <t>Activos fijos netos al inicio</t>
  </si>
  <si>
    <t>Comparable 5</t>
  </si>
  <si>
    <t>APORTES Y RETIROS DE LOS DUEÑOS</t>
  </si>
  <si>
    <t>Deuda corto plazo</t>
  </si>
  <si>
    <t>PASIVO + PATRIMONIO</t>
  </si>
  <si>
    <t>Flujo de caja libre acumulado</t>
  </si>
  <si>
    <t>Dólares</t>
  </si>
  <si>
    <t>% Plazo</t>
  </si>
  <si>
    <t>Financiamiento necesario</t>
  </si>
  <si>
    <t>Cuentas por cobrar</t>
  </si>
  <si>
    <t>DEUDA DE CORTO PLAZO</t>
  </si>
  <si>
    <t>Resultado operativo / Ventas</t>
  </si>
  <si>
    <t>- Amortizaciones acumuladas</t>
  </si>
  <si>
    <t>Ingresos Producto X</t>
  </si>
  <si>
    <t>Gastos Administrativos</t>
  </si>
  <si>
    <t>Costo de ventas</t>
  </si>
  <si>
    <t>Considera: a) que las inversiones necesarias en cada año se realizan al inicio de ese año; y b) que el flujo de caja del negocio finaliza al año 5.</t>
  </si>
  <si>
    <t>Saldo</t>
  </si>
  <si>
    <t>TOTAL COSTOS DE VENTAS</t>
  </si>
  <si>
    <t>Flujo de caja de la deuda</t>
  </si>
  <si>
    <t>Cuentas por pagar</t>
  </si>
  <si>
    <t>Cobranzas</t>
  </si>
  <si>
    <t>Representa el nivel mínimo de ventas que necesita el negocio a un momento dado para poder cubrir los costos fijos.</t>
  </si>
  <si>
    <t>Representa el financiamiento que necesita el negocio para que en ningún momento tenga caja negativa.</t>
  </si>
  <si>
    <t>Ingresos</t>
  </si>
  <si>
    <t>Resultado operativo</t>
  </si>
  <si>
    <t>Aportes netos de los dueños</t>
  </si>
  <si>
    <t>INDICES DE ENDEUDAMIENTO</t>
  </si>
  <si>
    <t>Aportes de los dueños</t>
  </si>
  <si>
    <t>Inversión en capital de trabajo</t>
  </si>
  <si>
    <t>Unidades</t>
  </si>
  <si>
    <t>Plazo</t>
  </si>
  <si>
    <t>Resultados acumulados</t>
  </si>
  <si>
    <t>Compras a plazo</t>
  </si>
  <si>
    <t>Pasivo corriente</t>
  </si>
  <si>
    <t>TOTAL INVERSIONES EN ACTIVOS FIJOS</t>
  </si>
  <si>
    <t>Pasivo no corriente</t>
  </si>
  <si>
    <t>Total IVA compras</t>
  </si>
  <si>
    <t>FLUJO DE CAJA DEL NEGOCIO</t>
  </si>
  <si>
    <t>IVA ventas</t>
  </si>
  <si>
    <t>Crédito fiscal Impuesto a la Renta / a las Ganancias</t>
  </si>
  <si>
    <t>TOTAL GASTOS DE PERSONAL</t>
  </si>
  <si>
    <t>Deuda financiera de largo plazo</t>
  </si>
  <si>
    <t>Sueldos</t>
  </si>
  <si>
    <t>Resultados antes del impuesto</t>
  </si>
  <si>
    <t>Representa la caja que genera o consume el negocio a un momento dado, considerando su financiamiento. De esta forma se puede ver: a) si hay momenos en los que habrá faltantes de caja; y b) excedentes de caja que habrá en el futuro para que retiren los dueños.</t>
  </si>
  <si>
    <t>Saldo pendiente de pago</t>
  </si>
  <si>
    <t>Compras a contado</t>
  </si>
  <si>
    <t>Comparable 1</t>
  </si>
  <si>
    <t>Mano de obra directa</t>
  </si>
  <si>
    <t>Check</t>
  </si>
  <si>
    <t>Flujo de caja del financiamiento</t>
  </si>
  <si>
    <t>Mes de pago</t>
  </si>
  <si>
    <t>Ganancias</t>
  </si>
  <si>
    <t>Costos de ventas por unidad</t>
  </si>
  <si>
    <t>Devolución</t>
  </si>
  <si>
    <t>Sueldos a plazo</t>
  </si>
  <si>
    <t>FINANCIAMIENTO NECESARIO</t>
  </si>
  <si>
    <t>Costos Indirectos de Fabricación</t>
  </si>
  <si>
    <t>Contabilidad y Finanzas</t>
  </si>
  <si>
    <t>Aportes netos de dueños</t>
  </si>
  <si>
    <t>Valor Residual</t>
  </si>
  <si>
    <t>Años de vida útil</t>
  </si>
  <si>
    <t>Amortizaciones de Activos</t>
  </si>
  <si>
    <t>Debe completar las hojas que se encuentran a continuación y al finalizar se habrán generado automáticamente cuadros con la información financiera de su negocio.</t>
  </si>
  <si>
    <t>Fecha de inicio del proyecto o negocio:</t>
  </si>
  <si>
    <t>Moneda en la que se realizarán las proyecciones financieras*</t>
  </si>
  <si>
    <t>*Se recomienda usar dólares, ya que permite que cualquier juez pueda interpretar y dimensionar los montos correctamente.</t>
  </si>
  <si>
    <t xml:space="preserve">DOCUMENTO DE APOYO EN LA SECCIÓN FINANCIERA PARA PARTICIPANTES DE YO EMPRENDEDOR </t>
  </si>
  <si>
    <t>MODELO BASE</t>
  </si>
  <si>
    <t>Para mostrar los meses de los primeros dos años se debe dar click en "+" en la parte superior de la pantalla. Para agrupar los meses y mostrar únicamente los años se debe dar click en el símbolo "-", también en el lado superior de la hoja de excel.</t>
  </si>
  <si>
    <t>Activo</t>
  </si>
  <si>
    <t>Mobiliario</t>
  </si>
  <si>
    <t>Equipo</t>
  </si>
  <si>
    <r>
      <t xml:space="preserve">En cada hoja puede modificar o rellenar los valores de aquellas celdas que tengan letras o números en </t>
    </r>
    <r>
      <rPr>
        <b/>
        <sz val="20"/>
        <color indexed="12"/>
        <rFont val="Calibri"/>
        <family val="2"/>
      </rPr>
      <t>color azul</t>
    </r>
    <r>
      <rPr>
        <sz val="12"/>
        <rFont val="Calibri"/>
        <family val="2"/>
      </rPr>
      <t xml:space="preserve">, el resto de las celdas se calcularán automáticamente. </t>
    </r>
    <r>
      <rPr>
        <b/>
        <sz val="12"/>
        <rFont val="Calibri"/>
        <family val="2"/>
      </rPr>
      <t>NO se deben eliminar filas ni columnas</t>
    </r>
    <r>
      <rPr>
        <sz val="12"/>
        <rFont val="Calibri"/>
        <family val="2"/>
      </rPr>
      <t>; en caso de no usarlas, dejarlas en blanco o en cero, para no causar errores en las fórmulas.</t>
    </r>
  </si>
  <si>
    <t>Además, dentro de cada sección, se encuentran comentarios que explican conceptos importantes y consejos para la introducción de los datos. Estos se visualizan en recuadros con texto y en las celdas con una pequeña pestaña roja en su esquina superior derecha.</t>
  </si>
  <si>
    <t>__________________________________________________________________________________________________________________________________</t>
  </si>
  <si>
    <t>Servicios públicos de la oficina</t>
  </si>
  <si>
    <t>Cuadro de Tramos para Impuesto de Renta en Costa Rica</t>
  </si>
  <si>
    <t>Personas Jurídicas - Periodo 2015</t>
  </si>
  <si>
    <t>T/c :</t>
  </si>
  <si>
    <t>Ingresos brutos hasta:</t>
  </si>
  <si>
    <t>Ingresos brutos de más de: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</si>
</sst>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quot;$&quot;\ #,##0"/>
    <numFmt numFmtId="172" formatCode="&quot;$&quot;\ #,##0.00"/>
    <numFmt numFmtId="173" formatCode="#,##0.0"/>
    <numFmt numFmtId="174" formatCode="0.0"/>
    <numFmt numFmtId="175" formatCode="&quot;$&quot;#,##0"/>
    <numFmt numFmtId="176" formatCode="[$-409]mmm\-yy;@"/>
    <numFmt numFmtId="177" formatCode="#0.0%"/>
    <numFmt numFmtId="178" formatCode="&quot;$&quot;\ #,##0;&quot;$&quot;\ \-#,##0"/>
    <numFmt numFmtId="179" formatCode="&quot;$&quot;\ #,##0.00;&quot;$&quot;\ \-#,##0.00"/>
    <numFmt numFmtId="180" formatCode="_ &quot;$&quot;\ * #,##0.00_ ;_ &quot;$&quot;\ * \-#,##0.00_ ;_ &quot;$&quot;\ * &quot;-&quot;??_ ;_ @_ "/>
    <numFmt numFmtId="181" formatCode="&quot;$&quot;#,##0.00"/>
    <numFmt numFmtId="182" formatCode="\$\ #,##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_([$$-409]* #,##0.00_);_([$$-409]* \(#,##0.00\);_([$$-409]* &quot;-&quot;??_);_(@_)"/>
  </numFmts>
  <fonts count="114">
    <font>
      <sz val="10"/>
      <name val="Arial"/>
      <family val="0"/>
    </font>
    <font>
      <sz val="9"/>
      <name val="Arial"/>
      <family val="2"/>
    </font>
    <font>
      <b/>
      <sz val="12"/>
      <name val="Arial"/>
      <family val="2"/>
    </font>
    <font>
      <b/>
      <sz val="10"/>
      <name val="Arial"/>
      <family val="2"/>
    </font>
    <font>
      <b/>
      <sz val="9"/>
      <name val="Arial"/>
      <family val="2"/>
    </font>
    <font>
      <sz val="14"/>
      <name val="Arial"/>
      <family val="2"/>
    </font>
    <font>
      <sz val="8"/>
      <name val="Arial"/>
      <family val="2"/>
    </font>
    <font>
      <i/>
      <sz val="8"/>
      <name val="Arial"/>
      <family val="2"/>
    </font>
    <font>
      <sz val="11"/>
      <name val="Arial"/>
      <family val="2"/>
    </font>
    <font>
      <sz val="8"/>
      <name val="Tahoma"/>
      <family val="2"/>
    </font>
    <font>
      <b/>
      <sz val="8"/>
      <name val="Tahoma"/>
      <family val="2"/>
    </font>
    <font>
      <b/>
      <sz val="11"/>
      <name val="Arial"/>
      <family val="2"/>
    </font>
    <font>
      <sz val="12"/>
      <name val="Calibri"/>
      <family val="2"/>
    </font>
    <font>
      <b/>
      <sz val="16"/>
      <name val="Calibri"/>
      <family val="2"/>
    </font>
    <font>
      <b/>
      <sz val="12"/>
      <name val="Calibri"/>
      <family val="2"/>
    </font>
    <font>
      <b/>
      <sz val="9"/>
      <name val="Tahoma"/>
      <family val="2"/>
    </font>
    <font>
      <b/>
      <sz val="20"/>
      <color indexed="12"/>
      <name val="Calibri"/>
      <family val="2"/>
    </font>
    <font>
      <sz val="10"/>
      <color indexed="63"/>
      <name val="Calibri"/>
      <family val="0"/>
    </font>
    <font>
      <sz val="8"/>
      <color indexed="63"/>
      <name val="Calibri"/>
      <family val="0"/>
    </font>
    <font>
      <sz val="9.2"/>
      <color indexed="63"/>
      <name val="Calibri"/>
      <family val="0"/>
    </font>
    <font>
      <sz val="10"/>
      <color indexed="9"/>
      <name val="Arial"/>
      <family val="2"/>
    </font>
    <font>
      <sz val="10"/>
      <color indexed="36"/>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0"/>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b/>
      <sz val="20"/>
      <name val="Calibri"/>
      <family val="2"/>
    </font>
    <font>
      <b/>
      <sz val="14"/>
      <name val="Calibri"/>
      <family val="2"/>
    </font>
    <font>
      <b/>
      <sz val="11"/>
      <color indexed="9"/>
      <name val="Arial"/>
      <family val="2"/>
    </font>
    <font>
      <b/>
      <sz val="10"/>
      <name val="Calibri"/>
      <family val="2"/>
    </font>
    <font>
      <b/>
      <sz val="9"/>
      <name val="Calibri"/>
      <family val="2"/>
    </font>
    <font>
      <b/>
      <sz val="18"/>
      <name val="Calibri"/>
      <family val="2"/>
    </font>
    <font>
      <sz val="10"/>
      <name val="Calibri"/>
      <family val="2"/>
    </font>
    <font>
      <sz val="8"/>
      <color indexed="8"/>
      <name val="Arial"/>
      <family val="2"/>
    </font>
    <font>
      <b/>
      <sz val="10"/>
      <color indexed="12"/>
      <name val="Calibri"/>
      <family val="2"/>
    </font>
    <font>
      <i/>
      <sz val="8"/>
      <color indexed="62"/>
      <name val="Arial"/>
      <family val="2"/>
    </font>
    <font>
      <b/>
      <sz val="14"/>
      <color indexed="12"/>
      <name val="Calibri"/>
      <family val="2"/>
    </font>
    <font>
      <b/>
      <sz val="22"/>
      <name val="Calibri"/>
      <family val="2"/>
    </font>
    <font>
      <b/>
      <sz val="11"/>
      <name val="Calibri"/>
      <family val="2"/>
    </font>
    <font>
      <sz val="18"/>
      <name val="Calibri"/>
      <family val="2"/>
    </font>
    <font>
      <i/>
      <sz val="9"/>
      <name val="Calibri"/>
      <family val="2"/>
    </font>
    <font>
      <sz val="22"/>
      <name val="Calibri"/>
      <family val="2"/>
    </font>
    <font>
      <b/>
      <sz val="12"/>
      <color indexed="62"/>
      <name val="Calibri"/>
      <family val="2"/>
    </font>
    <font>
      <b/>
      <sz val="12"/>
      <color indexed="12"/>
      <name val="Calibri"/>
      <family val="2"/>
    </font>
    <font>
      <b/>
      <sz val="11"/>
      <color indexed="9"/>
      <name val="Calibri"/>
      <family val="2"/>
    </font>
    <font>
      <i/>
      <sz val="8"/>
      <name val="Calibri"/>
      <family val="2"/>
    </font>
    <font>
      <b/>
      <sz val="11"/>
      <color indexed="8"/>
      <name val="Calibri"/>
      <family val="2"/>
    </font>
    <font>
      <i/>
      <sz val="8"/>
      <color indexed="62"/>
      <name val="Calibri"/>
      <family val="2"/>
    </font>
    <font>
      <sz val="10"/>
      <color indexed="8"/>
      <name val="Calibri"/>
      <family val="2"/>
    </font>
    <font>
      <b/>
      <sz val="10"/>
      <color indexed="8"/>
      <name val="Calibri"/>
      <family val="2"/>
    </font>
    <font>
      <sz val="8"/>
      <name val="Calibri"/>
      <family val="2"/>
    </font>
    <font>
      <b/>
      <sz val="13"/>
      <color indexed="9"/>
      <name val="Calibri"/>
      <family val="2"/>
    </font>
    <font>
      <sz val="14"/>
      <name val="Calibri"/>
      <family val="2"/>
    </font>
    <font>
      <i/>
      <sz val="10"/>
      <name val="Calibri"/>
      <family val="2"/>
    </font>
    <font>
      <sz val="11"/>
      <name val="Calibri"/>
      <family val="2"/>
    </font>
    <font>
      <sz val="8"/>
      <color indexed="12"/>
      <name val="Calibri"/>
      <family val="2"/>
    </font>
    <font>
      <i/>
      <sz val="11"/>
      <name val="Calibri"/>
      <family val="2"/>
    </font>
    <font>
      <sz val="11"/>
      <color indexed="8"/>
      <name val="Calibri"/>
      <family val="2"/>
    </font>
    <font>
      <sz val="11"/>
      <color indexed="12"/>
      <name val="Calibri"/>
      <family val="2"/>
    </font>
    <font>
      <b/>
      <u val="single"/>
      <sz val="11"/>
      <name val="Calibri"/>
      <family val="2"/>
    </font>
    <font>
      <sz val="20"/>
      <name val="Calibri"/>
      <family val="2"/>
    </font>
    <font>
      <b/>
      <sz val="12"/>
      <color indexed="9"/>
      <name val="Calibri"/>
      <family val="2"/>
    </font>
    <font>
      <b/>
      <sz val="12"/>
      <color indexed="8"/>
      <name val="Calibri"/>
      <family val="2"/>
    </font>
    <font>
      <sz val="12"/>
      <color indexed="12"/>
      <name val="Calibri"/>
      <family val="2"/>
    </font>
    <font>
      <b/>
      <sz val="11"/>
      <color indexed="12"/>
      <name val="Calibri"/>
      <family val="2"/>
    </font>
    <font>
      <sz val="10"/>
      <color indexed="12"/>
      <name val="Calibri"/>
      <family val="2"/>
    </font>
    <font>
      <b/>
      <u val="single"/>
      <sz val="12"/>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0"/>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11"/>
      <color rgb="FFFFFFFF"/>
      <name val="Arial"/>
      <family val="2"/>
    </font>
    <font>
      <sz val="8"/>
      <color rgb="FF000000"/>
      <name val="Arial"/>
      <family val="2"/>
    </font>
    <font>
      <b/>
      <sz val="10"/>
      <color rgb="FF0000FF"/>
      <name val="Calibri"/>
      <family val="2"/>
    </font>
    <font>
      <i/>
      <sz val="8"/>
      <color theme="3"/>
      <name val="Arial"/>
      <family val="2"/>
    </font>
    <font>
      <b/>
      <sz val="14"/>
      <color rgb="FF0000FF"/>
      <name val="Calibri"/>
      <family val="2"/>
    </font>
    <font>
      <b/>
      <sz val="12"/>
      <color theme="4" tint="-0.24997000396251678"/>
      <name val="Calibri"/>
      <family val="2"/>
    </font>
    <font>
      <b/>
      <sz val="11"/>
      <color theme="0"/>
      <name val="Arial"/>
      <family val="2"/>
    </font>
    <font>
      <b/>
      <sz val="12"/>
      <color rgb="FF0000FF"/>
      <name val="Calibri"/>
      <family val="2"/>
    </font>
    <font>
      <b/>
      <sz val="11"/>
      <color rgb="FFFFFFFF"/>
      <name val="Calibri"/>
      <family val="2"/>
    </font>
    <font>
      <b/>
      <sz val="11"/>
      <color theme="0"/>
      <name val="Calibri"/>
      <family val="2"/>
    </font>
    <font>
      <b/>
      <sz val="11"/>
      <color rgb="FF000000"/>
      <name val="Calibri"/>
      <family val="2"/>
    </font>
    <font>
      <i/>
      <sz val="8"/>
      <color theme="3"/>
      <name val="Calibri"/>
      <family val="2"/>
    </font>
    <font>
      <b/>
      <sz val="13"/>
      <color theme="0"/>
      <name val="Calibri"/>
      <family val="2"/>
    </font>
    <font>
      <sz val="8"/>
      <color rgb="FF0000FF"/>
      <name val="Calibri"/>
      <family val="2"/>
    </font>
    <font>
      <sz val="11"/>
      <color rgb="FF000000"/>
      <name val="Calibri"/>
      <family val="2"/>
    </font>
    <font>
      <sz val="11"/>
      <color rgb="FF0000FF"/>
      <name val="Calibri"/>
      <family val="2"/>
    </font>
    <font>
      <b/>
      <sz val="12"/>
      <color rgb="FFFFFFFF"/>
      <name val="Calibri"/>
      <family val="2"/>
    </font>
    <font>
      <b/>
      <sz val="12"/>
      <color rgb="FF000000"/>
      <name val="Calibri"/>
      <family val="2"/>
    </font>
    <font>
      <b/>
      <sz val="12"/>
      <color theme="0"/>
      <name val="Calibri"/>
      <family val="2"/>
    </font>
    <font>
      <sz val="12"/>
      <color rgb="FF0000FF"/>
      <name val="Calibri"/>
      <family val="2"/>
    </font>
    <font>
      <b/>
      <sz val="11"/>
      <color rgb="FF0000FF"/>
      <name val="Calibri"/>
      <family val="2"/>
    </font>
    <font>
      <sz val="10"/>
      <color rgb="FF0000FF"/>
      <name val="Calibri"/>
      <family val="2"/>
    </font>
    <font>
      <b/>
      <sz val="8"/>
      <name val="Arial"/>
      <family val="2"/>
    </font>
  </fonts>
  <fills count="41">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2E2E2"/>
        <bgColor indexed="64"/>
      </patternFill>
    </fill>
    <fill>
      <patternFill patternType="solid">
        <fgColor rgb="FF00669B"/>
        <bgColor indexed="64"/>
      </patternFill>
    </fill>
    <fill>
      <patternFill patternType="solid">
        <fgColor theme="0"/>
        <bgColor indexed="64"/>
      </patternFill>
    </fill>
    <fill>
      <patternFill patternType="solid">
        <fgColor rgb="FF6794BA"/>
        <bgColor indexed="64"/>
      </patternFill>
    </fill>
    <fill>
      <patternFill patternType="solid">
        <fgColor rgb="FFF9F2BF"/>
        <bgColor indexed="64"/>
      </patternFill>
    </fill>
    <fill>
      <patternFill patternType="solid">
        <fgColor rgb="FF0070C0"/>
        <bgColor indexed="64"/>
      </patternFill>
    </fill>
    <fill>
      <patternFill patternType="solid">
        <fgColor rgb="FFFF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0" tint="-0.3499799966812134"/>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color indexed="63"/>
      </top>
      <bottom>
        <color indexed="63"/>
      </bottom>
    </border>
    <border>
      <left style="thin">
        <color theme="0" tint="-0.3499799966812134"/>
      </left>
      <right>
        <color indexed="63"/>
      </right>
      <top>
        <color indexed="63"/>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color indexed="63"/>
      </bottom>
    </border>
    <border>
      <left>
        <color indexed="63"/>
      </left>
      <right style="thin">
        <color theme="0" tint="-0.3499799966812134"/>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s>
  <cellStyleXfs count="68">
    <xf numFmtId="0" fontId="0"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NumberFormat="0" applyFont="0" applyFill="0" applyBorder="0" applyAlignment="0" applyProtection="0"/>
    <xf numFmtId="168" fontId="0" fillId="0" borderId="0" applyFont="0" applyFill="0" applyBorder="0" applyAlignment="0" applyProtection="0"/>
    <xf numFmtId="180" fontId="0" fillId="0" borderId="0" applyNumberFormat="0" applyFont="0" applyFill="0" applyBorder="0" applyAlignment="0" applyProtection="0"/>
    <xf numFmtId="180" fontId="0" fillId="0" borderId="0" applyNumberFormat="0" applyFont="0" applyFill="0" applyBorder="0" applyAlignment="0" applyProtection="0"/>
    <xf numFmtId="180" fontId="0" fillId="0" borderId="0" applyNumberFormat="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NumberFormat="0" applyFont="0" applyFill="0" applyBorder="0" applyAlignment="0" applyProtection="0"/>
    <xf numFmtId="0" fontId="89" fillId="0" borderId="0" applyNumberFormat="0" applyFill="0" applyBorder="0" applyAlignment="0" applyProtection="0"/>
    <xf numFmtId="0" fontId="3" fillId="0" borderId="9" applyNumberFormat="0" applyFill="0" applyAlignment="0" applyProtection="0"/>
    <xf numFmtId="0" fontId="90" fillId="0" borderId="0" applyNumberFormat="0" applyFill="0" applyBorder="0" applyAlignment="0" applyProtection="0"/>
  </cellStyleXfs>
  <cellXfs count="343">
    <xf numFmtId="0" fontId="0" fillId="0" borderId="0" xfId="0" applyNumberFormat="1" applyFont="1" applyFill="1" applyBorder="1" applyAlignment="1">
      <alignment/>
    </xf>
    <xf numFmtId="171" fontId="0" fillId="0" borderId="0" xfId="58" applyNumberFormat="1" applyFont="1" applyFill="1" applyBorder="1" applyAlignment="1">
      <alignment horizontal="center"/>
    </xf>
    <xf numFmtId="0" fontId="35" fillId="0" borderId="0" xfId="58" applyNumberFormat="1" applyFont="1" applyFill="1" applyBorder="1" applyAlignment="1">
      <alignment/>
    </xf>
    <xf numFmtId="0" fontId="6" fillId="33" borderId="0" xfId="46" applyNumberFormat="1" applyFont="1" applyFill="1" applyBorder="1" applyAlignment="1">
      <alignment/>
    </xf>
    <xf numFmtId="0" fontId="7" fillId="0" borderId="0" xfId="0" applyNumberFormat="1" applyFont="1" applyFill="1" applyBorder="1" applyAlignment="1">
      <alignment/>
    </xf>
    <xf numFmtId="3" fontId="36" fillId="8" borderId="0" xfId="46" applyNumberFormat="1" applyFont="1" applyFill="1" applyBorder="1" applyAlignment="1">
      <alignment horizontal="left"/>
    </xf>
    <xf numFmtId="0" fontId="0" fillId="0" borderId="10" xfId="58" applyNumberFormat="1" applyFont="1" applyFill="1" applyBorder="1" applyAlignment="1">
      <alignment horizontal="center"/>
    </xf>
    <xf numFmtId="17" fontId="91" fillId="34" borderId="0" xfId="0" applyNumberFormat="1" applyFont="1" applyFill="1" applyBorder="1" applyAlignment="1" applyProtection="1">
      <alignment horizontal="right"/>
      <protection/>
    </xf>
    <xf numFmtId="0" fontId="0" fillId="0" borderId="0" xfId="58" applyNumberFormat="1" applyFont="1" applyFill="1" applyBorder="1" applyAlignment="1">
      <alignment vertical="center"/>
    </xf>
    <xf numFmtId="171" fontId="38" fillId="8" borderId="0" xfId="47" applyNumberFormat="1" applyFont="1" applyFill="1" applyBorder="1" applyAlignment="1">
      <alignment horizontal="left"/>
    </xf>
    <xf numFmtId="171" fontId="39" fillId="0" borderId="0" xfId="58" applyNumberFormat="1" applyFont="1" applyFill="1" applyBorder="1" applyAlignment="1">
      <alignment horizontal="center"/>
    </xf>
    <xf numFmtId="1" fontId="6" fillId="33" borderId="0" xfId="46" applyNumberFormat="1" applyFont="1" applyFill="1" applyBorder="1" applyAlignment="1" applyProtection="1">
      <alignment/>
      <protection/>
    </xf>
    <xf numFmtId="170" fontId="39" fillId="8" borderId="0" xfId="63" applyNumberFormat="1" applyFont="1" applyFill="1" applyBorder="1" applyAlignment="1">
      <alignment horizontal="left"/>
    </xf>
    <xf numFmtId="0" fontId="12" fillId="0" borderId="0" xfId="0" applyNumberFormat="1" applyFont="1" applyFill="1" applyBorder="1" applyAlignment="1">
      <alignment vertical="top"/>
    </xf>
    <xf numFmtId="0" fontId="4" fillId="0" borderId="0" xfId="0" applyNumberFormat="1" applyFont="1" applyFill="1" applyBorder="1" applyAlignment="1">
      <alignment/>
    </xf>
    <xf numFmtId="171" fontId="39" fillId="8" borderId="0" xfId="63" applyNumberFormat="1" applyFont="1" applyFill="1" applyBorder="1" applyAlignment="1">
      <alignment horizontal="left"/>
    </xf>
    <xf numFmtId="0" fontId="8" fillId="0" borderId="0" xfId="58" applyNumberFormat="1" applyFont="1" applyFill="1" applyBorder="1" applyAlignment="1">
      <alignment horizontal="center"/>
    </xf>
    <xf numFmtId="171" fontId="0" fillId="0" borderId="0" xfId="0" applyNumberFormat="1" applyAlignment="1">
      <alignment/>
    </xf>
    <xf numFmtId="171" fontId="40" fillId="0" borderId="0" xfId="0" applyNumberFormat="1" applyFont="1" applyFill="1" applyBorder="1" applyAlignment="1" applyProtection="1">
      <alignment horizontal="left"/>
      <protection/>
    </xf>
    <xf numFmtId="0" fontId="2" fillId="0" borderId="0" xfId="0" applyFont="1" applyFill="1" applyAlignment="1">
      <alignment/>
    </xf>
    <xf numFmtId="0" fontId="41" fillId="0" borderId="11" xfId="58" applyNumberFormat="1" applyFont="1" applyFill="1" applyBorder="1" applyAlignment="1">
      <alignment horizontal="center" vertical="center" wrapText="1"/>
    </xf>
    <xf numFmtId="3" fontId="92" fillId="33" borderId="0" xfId="46" applyNumberFormat="1" applyFont="1" applyFill="1" applyBorder="1" applyAlignment="1" applyProtection="1">
      <alignment/>
      <protection/>
    </xf>
    <xf numFmtId="171" fontId="36" fillId="8" borderId="0" xfId="46" applyNumberFormat="1" applyFont="1" applyFill="1" applyBorder="1" applyAlignment="1">
      <alignment horizontal="left"/>
    </xf>
    <xf numFmtId="0" fontId="6" fillId="33" borderId="0" xfId="46" applyNumberFormat="1" applyFont="1" applyFill="1" applyBorder="1" applyAlignment="1" applyProtection="1">
      <alignment/>
      <protection locked="0"/>
    </xf>
    <xf numFmtId="0" fontId="0" fillId="0" borderId="0" xfId="0" applyNumberFormat="1" applyFont="1" applyFill="1" applyBorder="1" applyAlignment="1">
      <alignment wrapText="1"/>
    </xf>
    <xf numFmtId="2" fontId="7" fillId="0" borderId="0" xfId="0" applyNumberFormat="1" applyFont="1" applyFill="1" applyBorder="1" applyAlignment="1">
      <alignment/>
    </xf>
    <xf numFmtId="0" fontId="0" fillId="0" borderId="11" xfId="58" applyNumberFormat="1" applyFont="1" applyFill="1" applyBorder="1" applyAlignment="1">
      <alignment horizontal="center"/>
    </xf>
    <xf numFmtId="2" fontId="91" fillId="34" borderId="0" xfId="0" applyNumberFormat="1" applyFont="1" applyFill="1" applyBorder="1" applyAlignment="1" applyProtection="1">
      <alignment/>
      <protection/>
    </xf>
    <xf numFmtId="3" fontId="6" fillId="33" borderId="0" xfId="46" applyNumberFormat="1" applyFont="1" applyFill="1" applyBorder="1" applyAlignment="1" applyProtection="1">
      <alignment/>
      <protection/>
    </xf>
    <xf numFmtId="178" fontId="38" fillId="0" borderId="0" xfId="46" applyNumberFormat="1" applyFont="1" applyFill="1" applyBorder="1" applyAlignment="1">
      <alignment/>
    </xf>
    <xf numFmtId="0" fontId="14" fillId="0" borderId="0" xfId="0" applyNumberFormat="1" applyFont="1" applyFill="1" applyBorder="1" applyAlignment="1">
      <alignment/>
    </xf>
    <xf numFmtId="178" fontId="36" fillId="8" borderId="0" xfId="46" applyNumberFormat="1" applyFont="1" applyFill="1" applyBorder="1" applyAlignment="1">
      <alignment horizontal="left"/>
    </xf>
    <xf numFmtId="178" fontId="6" fillId="33" borderId="0" xfId="46" applyNumberFormat="1" applyFont="1" applyFill="1" applyBorder="1" applyAlignment="1">
      <alignment/>
    </xf>
    <xf numFmtId="170" fontId="93" fillId="8" borderId="0" xfId="46" applyNumberFormat="1" applyFont="1" applyFill="1" applyBorder="1" applyAlignment="1" applyProtection="1">
      <alignment/>
      <protection locked="0"/>
    </xf>
    <xf numFmtId="178" fontId="14" fillId="8" borderId="0" xfId="46" applyNumberFormat="1" applyFont="1" applyFill="1" applyBorder="1" applyAlignment="1">
      <alignment/>
    </xf>
    <xf numFmtId="0" fontId="0" fillId="35" borderId="0" xfId="58" applyNumberFormat="1" applyFont="1" applyFill="1" applyBorder="1" applyAlignment="1">
      <alignment horizontal="center"/>
    </xf>
    <xf numFmtId="1" fontId="2" fillId="35" borderId="0" xfId="58" applyNumberFormat="1" applyFont="1" applyFill="1" applyBorder="1" applyAlignment="1">
      <alignment horizontal="center"/>
    </xf>
    <xf numFmtId="9" fontId="94" fillId="0" borderId="0" xfId="0" applyNumberFormat="1" applyFont="1" applyFill="1" applyBorder="1" applyAlignment="1">
      <alignment horizontal="right"/>
    </xf>
    <xf numFmtId="171" fontId="6" fillId="33" borderId="0" xfId="46" applyNumberFormat="1" applyFont="1" applyFill="1" applyBorder="1" applyAlignment="1">
      <alignment/>
    </xf>
    <xf numFmtId="171" fontId="7" fillId="0" borderId="0" xfId="0" applyNumberFormat="1" applyFont="1" applyFill="1" applyBorder="1" applyAlignment="1">
      <alignment/>
    </xf>
    <xf numFmtId="0" fontId="2" fillId="35" borderId="0" xfId="58" applyNumberFormat="1" applyFont="1" applyFill="1" applyBorder="1" applyAlignment="1">
      <alignment horizontal="center"/>
    </xf>
    <xf numFmtId="3" fontId="6" fillId="33" borderId="0" xfId="46" applyNumberFormat="1" applyFont="1" applyFill="1" applyBorder="1" applyAlignment="1" applyProtection="1">
      <alignment/>
      <protection locked="0"/>
    </xf>
    <xf numFmtId="178" fontId="41" fillId="8" borderId="0" xfId="46" applyNumberFormat="1" applyFont="1" applyFill="1" applyBorder="1" applyAlignment="1">
      <alignment horizontal="left" vertical="top" wrapText="1"/>
    </xf>
    <xf numFmtId="0" fontId="8" fillId="0" borderId="0" xfId="58" applyNumberFormat="1" applyFont="1" applyFill="1" applyBorder="1" applyAlignment="1">
      <alignment/>
    </xf>
    <xf numFmtId="9" fontId="7" fillId="0" borderId="0" xfId="0" applyNumberFormat="1" applyFont="1" applyFill="1" applyBorder="1" applyAlignment="1">
      <alignment horizontal="right"/>
    </xf>
    <xf numFmtId="0" fontId="0" fillId="35" borderId="0" xfId="58" applyNumberFormat="1" applyFont="1" applyFill="1" applyBorder="1" applyAlignment="1">
      <alignment horizontal="left"/>
    </xf>
    <xf numFmtId="170" fontId="95" fillId="8" borderId="0" xfId="46" applyNumberFormat="1" applyFont="1" applyFill="1" applyBorder="1" applyAlignment="1" applyProtection="1">
      <alignment/>
      <protection locked="0"/>
    </xf>
    <xf numFmtId="178" fontId="4" fillId="33" borderId="0" xfId="46" applyNumberFormat="1" applyFont="1" applyFill="1" applyBorder="1" applyAlignment="1">
      <alignment/>
    </xf>
    <xf numFmtId="178" fontId="41" fillId="8" borderId="0" xfId="46" applyNumberFormat="1" applyFont="1" applyFill="1" applyBorder="1" applyAlignment="1">
      <alignment vertical="top" wrapText="1"/>
    </xf>
    <xf numFmtId="0" fontId="0" fillId="0" borderId="0" xfId="0" applyNumberFormat="1" applyFont="1" applyFill="1" applyBorder="1" applyAlignment="1">
      <alignment horizontal="right"/>
    </xf>
    <xf numFmtId="178" fontId="39" fillId="8" borderId="0" xfId="46" applyNumberFormat="1" applyFont="1" applyFill="1" applyBorder="1" applyAlignment="1">
      <alignment horizontal="left"/>
    </xf>
    <xf numFmtId="171" fontId="39" fillId="8" borderId="0" xfId="46" applyNumberFormat="1" applyFont="1" applyFill="1" applyBorder="1" applyAlignment="1">
      <alignment horizontal="left"/>
    </xf>
    <xf numFmtId="0" fontId="14" fillId="0" borderId="0" xfId="58" applyNumberFormat="1" applyFont="1" applyFill="1" applyBorder="1" applyAlignment="1">
      <alignment horizontal="center"/>
    </xf>
    <xf numFmtId="171" fontId="46" fillId="0" borderId="0" xfId="0" applyNumberFormat="1" applyFont="1" applyFill="1" applyBorder="1" applyAlignment="1" applyProtection="1">
      <alignment horizontal="left"/>
      <protection/>
    </xf>
    <xf numFmtId="10" fontId="0" fillId="35" borderId="0" xfId="58" applyNumberFormat="1" applyFont="1" applyFill="1" applyBorder="1" applyAlignment="1">
      <alignment horizontal="center"/>
    </xf>
    <xf numFmtId="174" fontId="7" fillId="0" borderId="0" xfId="0" applyNumberFormat="1" applyFont="1" applyFill="1" applyBorder="1" applyAlignment="1">
      <alignment horizontal="right"/>
    </xf>
    <xf numFmtId="0" fontId="47" fillId="0" borderId="0" xfId="58" applyNumberFormat="1" applyFont="1" applyFill="1" applyBorder="1" applyAlignment="1">
      <alignment horizontal="left"/>
    </xf>
    <xf numFmtId="0" fontId="48" fillId="0" borderId="0" xfId="58" applyNumberFormat="1" applyFont="1" applyFill="1" applyBorder="1" applyAlignment="1">
      <alignment horizontal="center"/>
    </xf>
    <xf numFmtId="171" fontId="1" fillId="0" borderId="0" xfId="0" applyNumberFormat="1" applyFont="1" applyFill="1" applyBorder="1" applyAlignment="1">
      <alignment/>
    </xf>
    <xf numFmtId="0" fontId="6" fillId="0" borderId="0" xfId="0" applyFont="1" applyAlignment="1">
      <alignment/>
    </xf>
    <xf numFmtId="171" fontId="46" fillId="0" borderId="0" xfId="0" applyNumberFormat="1" applyFont="1" applyFill="1" applyBorder="1" applyAlignment="1" applyProtection="1">
      <alignment/>
      <protection/>
    </xf>
    <xf numFmtId="0" fontId="13" fillId="0" borderId="0" xfId="58" applyNumberFormat="1" applyFont="1" applyFill="1" applyBorder="1" applyAlignment="1">
      <alignment horizontal="center"/>
    </xf>
    <xf numFmtId="171" fontId="0" fillId="35" borderId="0" xfId="58" applyNumberFormat="1" applyFont="1" applyFill="1" applyBorder="1" applyAlignment="1">
      <alignment horizontal="right"/>
    </xf>
    <xf numFmtId="0" fontId="12" fillId="0" borderId="0" xfId="0" applyNumberFormat="1" applyFont="1" applyFill="1" applyBorder="1" applyAlignment="1">
      <alignment horizontal="left" vertical="top" wrapText="1"/>
    </xf>
    <xf numFmtId="176" fontId="2" fillId="35" borderId="0" xfId="58" applyNumberFormat="1" applyFont="1" applyFill="1" applyBorder="1" applyAlignment="1">
      <alignment horizontal="center"/>
    </xf>
    <xf numFmtId="0" fontId="0" fillId="35" borderId="0" xfId="58" applyNumberFormat="1" applyFont="1" applyFill="1" applyBorder="1" applyAlignment="1">
      <alignment/>
    </xf>
    <xf numFmtId="178" fontId="49" fillId="8" borderId="0" xfId="46" applyNumberFormat="1" applyFont="1" applyFill="1" applyBorder="1" applyAlignment="1">
      <alignment horizontal="left" vertical="top" wrapText="1"/>
    </xf>
    <xf numFmtId="0" fontId="0" fillId="0" borderId="12" xfId="58" applyNumberFormat="1" applyFont="1" applyFill="1" applyBorder="1" applyAlignment="1">
      <alignment horizontal="center"/>
    </xf>
    <xf numFmtId="3" fontId="36" fillId="8" borderId="0" xfId="47" applyNumberFormat="1" applyFont="1" applyFill="1" applyBorder="1" applyAlignment="1">
      <alignment horizontal="left"/>
    </xf>
    <xf numFmtId="0" fontId="50" fillId="0" borderId="0" xfId="58" applyNumberFormat="1" applyFont="1" applyFill="1" applyBorder="1" applyAlignment="1">
      <alignment/>
    </xf>
    <xf numFmtId="0" fontId="0" fillId="0" borderId="0" xfId="0" applyNumberFormat="1" applyFont="1" applyFill="1" applyBorder="1" applyAlignment="1">
      <alignment horizontal="center"/>
    </xf>
    <xf numFmtId="175" fontId="7" fillId="0" borderId="0" xfId="0" applyNumberFormat="1" applyFont="1" applyFill="1" applyBorder="1" applyAlignment="1">
      <alignment/>
    </xf>
    <xf numFmtId="10" fontId="0" fillId="35" borderId="0" xfId="58" applyNumberFormat="1" applyFont="1" applyFill="1" applyBorder="1" applyAlignment="1">
      <alignment horizontal="left"/>
    </xf>
    <xf numFmtId="171" fontId="38" fillId="8" borderId="0" xfId="46" applyNumberFormat="1" applyFont="1" applyFill="1" applyBorder="1" applyAlignment="1">
      <alignment horizontal="left"/>
    </xf>
    <xf numFmtId="0" fontId="96" fillId="0" borderId="0" xfId="0" applyNumberFormat="1" applyFont="1" applyFill="1" applyBorder="1" applyAlignment="1">
      <alignment horizontal="left"/>
    </xf>
    <xf numFmtId="0" fontId="14" fillId="0" borderId="0" xfId="58" applyNumberFormat="1" applyFont="1" applyFill="1" applyBorder="1" applyAlignment="1">
      <alignment/>
    </xf>
    <xf numFmtId="10" fontId="0" fillId="35" borderId="0" xfId="58" applyNumberFormat="1" applyFont="1" applyFill="1" applyBorder="1" applyAlignment="1">
      <alignment/>
    </xf>
    <xf numFmtId="171" fontId="0" fillId="35" borderId="0" xfId="58" applyNumberFormat="1" applyFont="1" applyFill="1" applyBorder="1" applyAlignment="1">
      <alignment horizontal="center"/>
    </xf>
    <xf numFmtId="1" fontId="0" fillId="0" borderId="0" xfId="0" applyNumberFormat="1" applyFont="1" applyFill="1" applyBorder="1" applyAlignment="1">
      <alignment/>
    </xf>
    <xf numFmtId="170" fontId="14" fillId="8" borderId="0" xfId="63" applyNumberFormat="1" applyFont="1" applyFill="1" applyBorder="1" applyAlignment="1">
      <alignment horizontal="left"/>
    </xf>
    <xf numFmtId="171" fontId="97" fillId="36" borderId="0" xfId="0" applyNumberFormat="1" applyFont="1" applyFill="1" applyAlignment="1">
      <alignment/>
    </xf>
    <xf numFmtId="1" fontId="91" fillId="34" borderId="0" xfId="0" applyNumberFormat="1" applyFont="1" applyFill="1" applyBorder="1" applyAlignment="1" applyProtection="1">
      <alignment horizontal="right"/>
      <protection/>
    </xf>
    <xf numFmtId="179" fontId="6" fillId="37" borderId="0" xfId="44" applyNumberFormat="1" applyFont="1" applyFill="1" applyBorder="1" applyAlignment="1">
      <alignment/>
    </xf>
    <xf numFmtId="17" fontId="2" fillId="35" borderId="0" xfId="58" applyNumberFormat="1" applyFont="1" applyFill="1" applyBorder="1" applyAlignment="1">
      <alignment horizontal="center"/>
    </xf>
    <xf numFmtId="0" fontId="13" fillId="0" borderId="0" xfId="58" applyNumberFormat="1" applyFont="1" applyFill="1" applyBorder="1" applyAlignment="1">
      <alignment/>
    </xf>
    <xf numFmtId="0" fontId="0" fillId="0" borderId="13" xfId="58" applyNumberFormat="1" applyFont="1" applyFill="1" applyBorder="1" applyAlignment="1">
      <alignment horizontal="center"/>
    </xf>
    <xf numFmtId="171" fontId="0" fillId="35" borderId="0" xfId="58" applyNumberFormat="1" applyFont="1" applyFill="1" applyBorder="1" applyAlignment="1">
      <alignment horizontal="left"/>
    </xf>
    <xf numFmtId="178" fontId="38" fillId="8" borderId="0" xfId="46" applyNumberFormat="1" applyFont="1" applyFill="1" applyBorder="1" applyAlignment="1">
      <alignment horizontal="left"/>
    </xf>
    <xf numFmtId="174" fontId="7" fillId="0" borderId="0" xfId="0" applyNumberFormat="1" applyFont="1" applyFill="1" applyBorder="1" applyAlignment="1">
      <alignment/>
    </xf>
    <xf numFmtId="0" fontId="0" fillId="0" borderId="14" xfId="58" applyNumberFormat="1" applyFont="1" applyFill="1" applyBorder="1" applyAlignment="1">
      <alignment horizontal="center"/>
    </xf>
    <xf numFmtId="0" fontId="36" fillId="0" borderId="0" xfId="0" applyNumberFormat="1" applyFont="1" applyFill="1" applyBorder="1" applyAlignment="1">
      <alignment/>
    </xf>
    <xf numFmtId="0" fontId="36" fillId="0" borderId="0" xfId="58" applyNumberFormat="1" applyFont="1" applyFill="1" applyBorder="1" applyAlignment="1">
      <alignment horizontal="center"/>
    </xf>
    <xf numFmtId="171" fontId="14" fillId="8" borderId="0" xfId="63" applyNumberFormat="1" applyFont="1" applyFill="1" applyBorder="1" applyAlignment="1">
      <alignment horizontal="left"/>
    </xf>
    <xf numFmtId="0" fontId="94" fillId="0" borderId="0" xfId="0" applyNumberFormat="1" applyFont="1" applyFill="1" applyBorder="1" applyAlignment="1">
      <alignment horizontal="right"/>
    </xf>
    <xf numFmtId="170" fontId="93" fillId="0" borderId="0" xfId="46" applyNumberFormat="1" applyFont="1" applyFill="1" applyBorder="1" applyAlignment="1" applyProtection="1">
      <alignment/>
      <protection locked="0"/>
    </xf>
    <xf numFmtId="171" fontId="13" fillId="0" borderId="15" xfId="58" applyNumberFormat="1" applyFont="1" applyFill="1" applyBorder="1" applyAlignment="1">
      <alignment horizontal="center"/>
    </xf>
    <xf numFmtId="0" fontId="0" fillId="0" borderId="0" xfId="0" applyAlignment="1">
      <alignment/>
    </xf>
    <xf numFmtId="0" fontId="0" fillId="0" borderId="16" xfId="58" applyNumberFormat="1" applyFont="1" applyFill="1" applyBorder="1" applyAlignment="1">
      <alignment horizontal="center"/>
    </xf>
    <xf numFmtId="171" fontId="14" fillId="0" borderId="0" xfId="58" applyNumberFormat="1" applyFont="1" applyFill="1" applyBorder="1" applyAlignment="1">
      <alignment horizontal="center"/>
    </xf>
    <xf numFmtId="1" fontId="7" fillId="0" borderId="0" xfId="0" applyNumberFormat="1" applyFont="1" applyFill="1" applyBorder="1" applyAlignment="1">
      <alignment horizontal="right"/>
    </xf>
    <xf numFmtId="171" fontId="36" fillId="8" borderId="0" xfId="47" applyNumberFormat="1" applyFont="1" applyFill="1" applyBorder="1" applyAlignment="1">
      <alignment horizontal="left"/>
    </xf>
    <xf numFmtId="0" fontId="7" fillId="0" borderId="0" xfId="0" applyNumberFormat="1" applyFont="1" applyFill="1" applyBorder="1" applyAlignment="1">
      <alignment horizontal="right"/>
    </xf>
    <xf numFmtId="0" fontId="0" fillId="0" borderId="0" xfId="58" applyNumberFormat="1" applyFont="1" applyFill="1" applyBorder="1" applyAlignment="1">
      <alignment horizontal="center"/>
    </xf>
    <xf numFmtId="171" fontId="48" fillId="0" borderId="0" xfId="58" applyNumberFormat="1" applyFont="1" applyFill="1" applyBorder="1" applyAlignment="1">
      <alignment horizontal="center"/>
    </xf>
    <xf numFmtId="171" fontId="13" fillId="0" borderId="0" xfId="58" applyNumberFormat="1" applyFont="1" applyFill="1" applyBorder="1" applyAlignment="1">
      <alignment horizontal="center"/>
    </xf>
    <xf numFmtId="9" fontId="98" fillId="8" borderId="0" xfId="46" applyNumberFormat="1" applyFont="1" applyFill="1" applyBorder="1" applyAlignment="1" applyProtection="1">
      <alignment horizontal="left"/>
      <protection locked="0"/>
    </xf>
    <xf numFmtId="171" fontId="6" fillId="33" borderId="0" xfId="44" applyNumberFormat="1" applyFont="1" applyFill="1" applyBorder="1" applyAlignment="1">
      <alignment/>
    </xf>
    <xf numFmtId="0" fontId="39" fillId="0" borderId="0" xfId="58" applyNumberFormat="1" applyFont="1" applyFill="1" applyBorder="1" applyAlignment="1">
      <alignment horizontal="center"/>
    </xf>
    <xf numFmtId="178" fontId="39" fillId="8" borderId="0" xfId="46" applyNumberFormat="1" applyFont="1" applyFill="1" applyBorder="1" applyAlignment="1">
      <alignment/>
    </xf>
    <xf numFmtId="0" fontId="0" fillId="0" borderId="17" xfId="58" applyNumberFormat="1" applyFont="1" applyFill="1" applyBorder="1" applyAlignment="1">
      <alignment horizontal="center"/>
    </xf>
    <xf numFmtId="171" fontId="0" fillId="35" borderId="0" xfId="58" applyNumberFormat="1" applyFont="1" applyFill="1" applyBorder="1" applyAlignment="1">
      <alignment/>
    </xf>
    <xf numFmtId="171" fontId="2" fillId="35" borderId="0" xfId="58" applyNumberFormat="1" applyFont="1" applyFill="1" applyBorder="1" applyAlignment="1">
      <alignment/>
    </xf>
    <xf numFmtId="10" fontId="7" fillId="0" borderId="0" xfId="0" applyNumberFormat="1" applyFont="1" applyFill="1" applyBorder="1" applyAlignment="1">
      <alignment horizontal="right"/>
    </xf>
    <xf numFmtId="17" fontId="0" fillId="35" borderId="0" xfId="58" applyNumberFormat="1" applyFont="1" applyFill="1" applyBorder="1" applyAlignment="1">
      <alignment/>
    </xf>
    <xf numFmtId="0" fontId="98" fillId="0" borderId="0" xfId="0" applyNumberFormat="1" applyFont="1" applyFill="1" applyBorder="1" applyAlignment="1" applyProtection="1">
      <alignment horizontal="left"/>
      <protection locked="0"/>
    </xf>
    <xf numFmtId="3" fontId="0" fillId="0" borderId="0" xfId="0" applyNumberFormat="1" applyFont="1" applyFill="1" applyBorder="1" applyAlignment="1">
      <alignment/>
    </xf>
    <xf numFmtId="0" fontId="5" fillId="0" borderId="0" xfId="0" applyNumberFormat="1" applyFont="1" applyFill="1" applyBorder="1" applyAlignment="1">
      <alignment/>
    </xf>
    <xf numFmtId="0" fontId="98" fillId="0" borderId="0" xfId="0" applyNumberFormat="1" applyFont="1" applyFill="1" applyBorder="1" applyAlignment="1" applyProtection="1">
      <alignment/>
      <protection locked="0"/>
    </xf>
    <xf numFmtId="0" fontId="36" fillId="0" borderId="0" xfId="58" applyNumberFormat="1" applyFont="1" applyFill="1" applyBorder="1" applyAlignment="1">
      <alignment/>
    </xf>
    <xf numFmtId="0" fontId="0" fillId="0" borderId="0" xfId="58" applyNumberFormat="1" applyFont="1" applyFill="1" applyBorder="1" applyAlignment="1">
      <alignment horizontal="left"/>
    </xf>
    <xf numFmtId="0" fontId="0" fillId="0" borderId="0" xfId="58" applyNumberFormat="1" applyFont="1" applyFill="1" applyBorder="1" applyAlignment="1">
      <alignment horizontal="center" vertical="center"/>
    </xf>
    <xf numFmtId="0" fontId="0" fillId="0" borderId="0" xfId="0" applyNumberFormat="1" applyFont="1" applyFill="1" applyBorder="1" applyAlignment="1" applyProtection="1">
      <alignment/>
      <protection/>
    </xf>
    <xf numFmtId="0" fontId="12" fillId="0" borderId="0" xfId="0" applyNumberFormat="1" applyFont="1" applyFill="1" applyBorder="1" applyAlignment="1">
      <alignment/>
    </xf>
    <xf numFmtId="4" fontId="6" fillId="0" borderId="0" xfId="0" applyNumberFormat="1" applyFont="1" applyAlignment="1">
      <alignment horizontal="right"/>
    </xf>
    <xf numFmtId="0" fontId="3" fillId="0" borderId="0" xfId="0" applyNumberFormat="1" applyFont="1" applyFill="1" applyBorder="1" applyAlignment="1">
      <alignment/>
    </xf>
    <xf numFmtId="0" fontId="0" fillId="0" borderId="0" xfId="58" applyNumberFormat="1" applyFont="1" applyFill="1" applyBorder="1" applyAlignment="1">
      <alignment/>
    </xf>
    <xf numFmtId="0" fontId="0" fillId="0" borderId="0" xfId="58" applyNumberFormat="1" applyFont="1" applyFill="1" applyBorder="1" applyAlignment="1">
      <alignment horizontal="left" vertical="center"/>
    </xf>
    <xf numFmtId="0" fontId="8" fillId="0" borderId="0" xfId="0" applyNumberFormat="1" applyFont="1" applyFill="1" applyBorder="1" applyAlignment="1">
      <alignment horizontal="right"/>
    </xf>
    <xf numFmtId="178" fontId="38" fillId="8" borderId="0" xfId="46" applyNumberFormat="1" applyFont="1" applyFill="1" applyBorder="1" applyAlignment="1">
      <alignment/>
    </xf>
    <xf numFmtId="1" fontId="7" fillId="0" borderId="0" xfId="0" applyNumberFormat="1" applyFont="1" applyFill="1" applyBorder="1" applyAlignment="1">
      <alignment/>
    </xf>
    <xf numFmtId="178" fontId="38" fillId="0" borderId="0" xfId="46" applyNumberFormat="1" applyFont="1" applyFill="1" applyBorder="1" applyAlignment="1">
      <alignment horizontal="left"/>
    </xf>
    <xf numFmtId="171" fontId="38" fillId="0" borderId="0" xfId="46" applyNumberFormat="1" applyFont="1" applyFill="1" applyBorder="1" applyAlignment="1">
      <alignment horizontal="left"/>
    </xf>
    <xf numFmtId="2" fontId="0" fillId="0" borderId="0" xfId="0" applyNumberFormat="1" applyFont="1" applyFill="1" applyBorder="1" applyAlignment="1">
      <alignment/>
    </xf>
    <xf numFmtId="170" fontId="7" fillId="0" borderId="0" xfId="0" applyNumberFormat="1" applyFont="1" applyFill="1" applyBorder="1" applyAlignment="1">
      <alignment horizontal="right"/>
    </xf>
    <xf numFmtId="178" fontId="14" fillId="8" borderId="0" xfId="46" applyNumberFormat="1" applyFont="1" applyFill="1" applyBorder="1" applyAlignment="1">
      <alignment horizontal="left"/>
    </xf>
    <xf numFmtId="0" fontId="39" fillId="0" borderId="0" xfId="58" applyNumberFormat="1" applyFont="1" applyFill="1" applyBorder="1" applyAlignment="1">
      <alignment/>
    </xf>
    <xf numFmtId="9" fontId="0" fillId="35" borderId="0" xfId="58" applyNumberFormat="1" applyFont="1" applyFill="1" applyBorder="1" applyAlignment="1">
      <alignment horizontal="center"/>
    </xf>
    <xf numFmtId="171" fontId="36" fillId="0" borderId="0" xfId="58" applyNumberFormat="1" applyFont="1" applyFill="1" applyBorder="1" applyAlignment="1">
      <alignment horizontal="center"/>
    </xf>
    <xf numFmtId="0" fontId="0" fillId="0" borderId="0" xfId="0" applyNumberFormat="1" applyFont="1" applyFill="1" applyBorder="1" applyAlignment="1" quotePrefix="1">
      <alignment/>
    </xf>
    <xf numFmtId="171" fontId="7" fillId="0" borderId="0" xfId="0" applyNumberFormat="1" applyFont="1" applyFill="1" applyBorder="1" applyAlignment="1">
      <alignment horizontal="right"/>
    </xf>
    <xf numFmtId="171" fontId="0" fillId="0" borderId="0" xfId="0" applyNumberFormat="1" applyFont="1" applyFill="1" applyBorder="1" applyAlignment="1">
      <alignment/>
    </xf>
    <xf numFmtId="2" fontId="99" fillId="34" borderId="0" xfId="0" applyNumberFormat="1" applyFont="1" applyFill="1" applyBorder="1" applyAlignment="1" applyProtection="1">
      <alignment/>
      <protection/>
    </xf>
    <xf numFmtId="17" fontId="99" fillId="34" borderId="0" xfId="0" applyNumberFormat="1" applyFont="1" applyFill="1" applyBorder="1" applyAlignment="1" applyProtection="1">
      <alignment horizontal="right"/>
      <protection/>
    </xf>
    <xf numFmtId="1" fontId="99" fillId="34" borderId="0" xfId="0" applyNumberFormat="1" applyFont="1" applyFill="1" applyBorder="1" applyAlignment="1" applyProtection="1">
      <alignment horizontal="right"/>
      <protection/>
    </xf>
    <xf numFmtId="0" fontId="41" fillId="0" borderId="0" xfId="0" applyNumberFormat="1" applyFont="1" applyFill="1" applyBorder="1" applyAlignment="1">
      <alignment horizontal="right"/>
    </xf>
    <xf numFmtId="0" fontId="41" fillId="0" borderId="0" xfId="0" applyNumberFormat="1" applyFont="1" applyFill="1" applyBorder="1" applyAlignment="1">
      <alignment/>
    </xf>
    <xf numFmtId="171" fontId="100" fillId="36" borderId="0" xfId="0" applyNumberFormat="1" applyFont="1" applyFill="1" applyAlignment="1">
      <alignment/>
    </xf>
    <xf numFmtId="175" fontId="100" fillId="36" borderId="0" xfId="0" applyNumberFormat="1" applyFont="1" applyFill="1" applyAlignment="1">
      <alignment/>
    </xf>
    <xf numFmtId="171" fontId="54" fillId="0" borderId="0" xfId="0" applyNumberFormat="1" applyFont="1" applyFill="1" applyBorder="1" applyAlignment="1">
      <alignment/>
    </xf>
    <xf numFmtId="0" fontId="54" fillId="0" borderId="0" xfId="0" applyNumberFormat="1" applyFont="1" applyFill="1" applyBorder="1" applyAlignment="1">
      <alignment/>
    </xf>
    <xf numFmtId="175" fontId="54" fillId="0" borderId="0" xfId="0" applyNumberFormat="1" applyFont="1" applyFill="1" applyBorder="1" applyAlignment="1">
      <alignment/>
    </xf>
    <xf numFmtId="0" fontId="54" fillId="0" borderId="0" xfId="0" applyNumberFormat="1" applyFont="1" applyFill="1" applyBorder="1" applyAlignment="1">
      <alignment horizontal="right"/>
    </xf>
    <xf numFmtId="170" fontId="54" fillId="0" borderId="0" xfId="0" applyNumberFormat="1" applyFont="1" applyFill="1" applyBorder="1" applyAlignment="1">
      <alignment horizontal="right"/>
    </xf>
    <xf numFmtId="9" fontId="54" fillId="0" borderId="0" xfId="0" applyNumberFormat="1" applyFont="1" applyFill="1" applyBorder="1" applyAlignment="1">
      <alignment horizontal="right"/>
    </xf>
    <xf numFmtId="0" fontId="101" fillId="33" borderId="0" xfId="0" applyNumberFormat="1" applyFont="1" applyFill="1" applyBorder="1" applyAlignment="1" applyProtection="1">
      <alignment/>
      <protection/>
    </xf>
    <xf numFmtId="175" fontId="101" fillId="33" borderId="0" xfId="0" applyNumberFormat="1" applyFont="1" applyFill="1" applyBorder="1" applyAlignment="1" applyProtection="1">
      <alignment horizontal="right"/>
      <protection/>
    </xf>
    <xf numFmtId="0" fontId="102" fillId="0" borderId="0" xfId="0" applyNumberFormat="1" applyFont="1" applyFill="1" applyBorder="1" applyAlignment="1">
      <alignment horizontal="right"/>
    </xf>
    <xf numFmtId="9" fontId="102" fillId="0" borderId="0" xfId="0" applyNumberFormat="1" applyFont="1" applyFill="1" applyBorder="1" applyAlignment="1">
      <alignment horizontal="right"/>
    </xf>
    <xf numFmtId="174" fontId="54" fillId="0" borderId="0" xfId="0" applyNumberFormat="1" applyFont="1" applyFill="1" applyBorder="1" applyAlignment="1">
      <alignment/>
    </xf>
    <xf numFmtId="3" fontId="54" fillId="0" borderId="0" xfId="0" applyNumberFormat="1" applyFont="1" applyFill="1" applyBorder="1" applyAlignment="1">
      <alignment/>
    </xf>
    <xf numFmtId="1" fontId="54" fillId="0" borderId="0" xfId="0" applyNumberFormat="1" applyFont="1" applyFill="1" applyBorder="1" applyAlignment="1">
      <alignment/>
    </xf>
    <xf numFmtId="171" fontId="54" fillId="0" borderId="0" xfId="0" applyNumberFormat="1" applyFont="1" applyFill="1" applyBorder="1" applyAlignment="1">
      <alignment horizontal="right"/>
    </xf>
    <xf numFmtId="171" fontId="99" fillId="36" borderId="0" xfId="0" applyNumberFormat="1" applyFont="1" applyFill="1" applyAlignment="1" applyProtection="1">
      <alignment/>
      <protection/>
    </xf>
    <xf numFmtId="175" fontId="99" fillId="36" borderId="0" xfId="0" applyNumberFormat="1" applyFont="1" applyFill="1" applyAlignment="1" applyProtection="1">
      <alignment/>
      <protection/>
    </xf>
    <xf numFmtId="171" fontId="41" fillId="0" borderId="0" xfId="0" applyNumberFormat="1" applyFont="1" applyFill="1" applyBorder="1" applyAlignment="1">
      <alignment/>
    </xf>
    <xf numFmtId="10" fontId="54" fillId="0" borderId="0" xfId="0" applyNumberFormat="1" applyFont="1" applyFill="1" applyBorder="1" applyAlignment="1">
      <alignment horizontal="right"/>
    </xf>
    <xf numFmtId="175" fontId="101" fillId="33" borderId="0" xfId="0" applyNumberFormat="1" applyFont="1" applyFill="1" applyBorder="1" applyAlignment="1" applyProtection="1">
      <alignment/>
      <protection/>
    </xf>
    <xf numFmtId="10" fontId="41" fillId="0" borderId="0" xfId="0" applyNumberFormat="1" applyFont="1" applyFill="1" applyBorder="1" applyAlignment="1">
      <alignment/>
    </xf>
    <xf numFmtId="175" fontId="41" fillId="0" borderId="0" xfId="0" applyNumberFormat="1" applyFont="1" applyFill="1" applyBorder="1" applyAlignment="1">
      <alignment/>
    </xf>
    <xf numFmtId="175" fontId="41" fillId="0" borderId="0" xfId="0" applyNumberFormat="1" applyFont="1" applyFill="1" applyBorder="1" applyAlignment="1">
      <alignment horizontal="right"/>
    </xf>
    <xf numFmtId="0" fontId="57" fillId="0" borderId="0" xfId="0" applyNumberFormat="1" applyFont="1" applyFill="1" applyBorder="1" applyAlignment="1">
      <alignment/>
    </xf>
    <xf numFmtId="0" fontId="58" fillId="0" borderId="0" xfId="0" applyNumberFormat="1" applyFont="1" applyFill="1" applyBorder="1" applyAlignment="1">
      <alignment/>
    </xf>
    <xf numFmtId="179" fontId="59" fillId="37" borderId="0" xfId="46" applyNumberFormat="1" applyFont="1" applyFill="1" applyBorder="1" applyAlignment="1">
      <alignment/>
    </xf>
    <xf numFmtId="3" fontId="38" fillId="37" borderId="0" xfId="0" applyNumberFormat="1" applyFont="1" applyFill="1" applyAlignment="1">
      <alignment/>
    </xf>
    <xf numFmtId="171" fontId="103" fillId="38" borderId="0" xfId="0" applyNumberFormat="1" applyFont="1" applyFill="1" applyBorder="1" applyAlignment="1">
      <alignment/>
    </xf>
    <xf numFmtId="0" fontId="14" fillId="0" borderId="0" xfId="0" applyFont="1" applyFill="1" applyAlignment="1">
      <alignment/>
    </xf>
    <xf numFmtId="0" fontId="61" fillId="0" borderId="0" xfId="0" applyNumberFormat="1" applyFont="1" applyFill="1" applyBorder="1" applyAlignment="1">
      <alignment/>
    </xf>
    <xf numFmtId="0" fontId="62" fillId="0" borderId="0" xfId="0" applyNumberFormat="1" applyFont="1" applyFill="1" applyBorder="1" applyAlignment="1">
      <alignment/>
    </xf>
    <xf numFmtId="2" fontId="57" fillId="0" borderId="0" xfId="0" applyNumberFormat="1" applyFont="1" applyFill="1" applyBorder="1" applyAlignment="1">
      <alignment/>
    </xf>
    <xf numFmtId="0" fontId="39" fillId="0" borderId="0" xfId="0" applyNumberFormat="1" applyFont="1" applyFill="1" applyBorder="1" applyAlignment="1">
      <alignment/>
    </xf>
    <xf numFmtId="2" fontId="41" fillId="0" borderId="0" xfId="0" applyNumberFormat="1" applyFont="1" applyFill="1" applyBorder="1" applyAlignment="1">
      <alignment/>
    </xf>
    <xf numFmtId="0" fontId="59" fillId="0" borderId="0" xfId="0" applyFont="1" applyAlignment="1">
      <alignment/>
    </xf>
    <xf numFmtId="171" fontId="41" fillId="0" borderId="0" xfId="0" applyNumberFormat="1" applyFont="1" applyAlignment="1">
      <alignment/>
    </xf>
    <xf numFmtId="171" fontId="41" fillId="0" borderId="0" xfId="0" applyNumberFormat="1" applyFont="1" applyFill="1" applyBorder="1" applyAlignment="1">
      <alignment horizontal="right"/>
    </xf>
    <xf numFmtId="4" fontId="59" fillId="0" borderId="0" xfId="0" applyNumberFormat="1" applyFont="1" applyAlignment="1">
      <alignment horizontal="left"/>
    </xf>
    <xf numFmtId="4" fontId="59" fillId="0" borderId="0" xfId="0" applyNumberFormat="1" applyFont="1" applyAlignment="1">
      <alignment horizontal="right"/>
    </xf>
    <xf numFmtId="171" fontId="53" fillId="34" borderId="0" xfId="0" applyNumberFormat="1" applyFont="1" applyFill="1" applyBorder="1" applyAlignment="1">
      <alignment/>
    </xf>
    <xf numFmtId="0" fontId="53" fillId="34" borderId="0" xfId="0" applyNumberFormat="1" applyFont="1" applyFill="1" applyBorder="1" applyAlignment="1">
      <alignment/>
    </xf>
    <xf numFmtId="0" fontId="63" fillId="0" borderId="0" xfId="0" applyNumberFormat="1" applyFont="1" applyFill="1" applyBorder="1" applyAlignment="1">
      <alignment horizontal="right"/>
    </xf>
    <xf numFmtId="0" fontId="53" fillId="34" borderId="0" xfId="0" applyNumberFormat="1" applyFont="1" applyFill="1" applyBorder="1" applyAlignment="1" applyProtection="1">
      <alignment horizontal="right"/>
      <protection locked="0"/>
    </xf>
    <xf numFmtId="9" fontId="59" fillId="33" borderId="0" xfId="46" applyNumberFormat="1" applyFont="1" applyFill="1" applyBorder="1" applyAlignment="1">
      <alignment horizontal="right"/>
    </xf>
    <xf numFmtId="9" fontId="41" fillId="0" borderId="0" xfId="0" applyNumberFormat="1" applyFont="1" applyFill="1" applyBorder="1" applyAlignment="1">
      <alignment horizontal="right"/>
    </xf>
    <xf numFmtId="9" fontId="58" fillId="0" borderId="0" xfId="0" applyNumberFormat="1" applyFont="1" applyFill="1" applyBorder="1" applyAlignment="1">
      <alignment horizontal="right"/>
    </xf>
    <xf numFmtId="173" fontId="59" fillId="33" borderId="0" xfId="46" applyNumberFormat="1" applyFont="1" applyFill="1" applyBorder="1" applyAlignment="1">
      <alignment horizontal="right"/>
    </xf>
    <xf numFmtId="171" fontId="41" fillId="0" borderId="0" xfId="0" applyNumberFormat="1" applyFont="1" applyAlignment="1">
      <alignment horizontal="right"/>
    </xf>
    <xf numFmtId="171" fontId="104" fillId="33" borderId="0" xfId="46" applyNumberFormat="1" applyFont="1" applyFill="1" applyBorder="1" applyAlignment="1" applyProtection="1">
      <alignment/>
      <protection locked="0"/>
    </xf>
    <xf numFmtId="0" fontId="63" fillId="33" borderId="0" xfId="0" applyNumberFormat="1" applyFont="1" applyFill="1" applyBorder="1" applyAlignment="1" applyProtection="1">
      <alignment/>
      <protection/>
    </xf>
    <xf numFmtId="3" fontId="63" fillId="33" borderId="0" xfId="0" applyNumberFormat="1" applyFont="1" applyFill="1" applyBorder="1" applyAlignment="1" applyProtection="1">
      <alignment horizontal="right"/>
      <protection/>
    </xf>
    <xf numFmtId="0" fontId="65" fillId="0" borderId="0" xfId="0" applyNumberFormat="1" applyFont="1" applyFill="1" applyBorder="1" applyAlignment="1">
      <alignment horizontal="right"/>
    </xf>
    <xf numFmtId="0" fontId="63" fillId="0" borderId="0" xfId="0" applyNumberFormat="1" applyFont="1" applyFill="1" applyBorder="1" applyAlignment="1">
      <alignment/>
    </xf>
    <xf numFmtId="0" fontId="8" fillId="0" borderId="0" xfId="0" applyNumberFormat="1" applyFont="1" applyFill="1" applyBorder="1" applyAlignment="1">
      <alignment/>
    </xf>
    <xf numFmtId="0" fontId="63" fillId="33" borderId="0" xfId="0" applyNumberFormat="1" applyFont="1" applyFill="1" applyBorder="1" applyAlignment="1" applyProtection="1">
      <alignment horizontal="right"/>
      <protection/>
    </xf>
    <xf numFmtId="0" fontId="105" fillId="33" borderId="0" xfId="0" applyNumberFormat="1" applyFont="1" applyFill="1" applyBorder="1" applyAlignment="1" applyProtection="1">
      <alignment/>
      <protection/>
    </xf>
    <xf numFmtId="181" fontId="106" fillId="33" borderId="0" xfId="0" applyNumberFormat="1" applyFont="1" applyFill="1" applyBorder="1" applyAlignment="1" applyProtection="1">
      <alignment horizontal="right"/>
      <protection locked="0"/>
    </xf>
    <xf numFmtId="181" fontId="105" fillId="33" borderId="0" xfId="0" applyNumberFormat="1" applyFont="1" applyFill="1" applyBorder="1" applyAlignment="1" applyProtection="1">
      <alignment horizontal="right"/>
      <protection/>
    </xf>
    <xf numFmtId="170" fontId="65" fillId="0" borderId="0" xfId="0" applyNumberFormat="1" applyFont="1" applyFill="1" applyBorder="1" applyAlignment="1">
      <alignment horizontal="right"/>
    </xf>
    <xf numFmtId="9" fontId="65" fillId="0" borderId="0" xfId="0" applyNumberFormat="1" applyFont="1" applyFill="1" applyBorder="1" applyAlignment="1">
      <alignment horizontal="right"/>
    </xf>
    <xf numFmtId="1" fontId="65" fillId="0" borderId="0" xfId="0" applyNumberFormat="1" applyFont="1" applyFill="1" applyBorder="1" applyAlignment="1">
      <alignment horizontal="right"/>
    </xf>
    <xf numFmtId="181" fontId="101" fillId="33" borderId="0" xfId="0" applyNumberFormat="1" applyFont="1" applyFill="1" applyBorder="1" applyAlignment="1" applyProtection="1">
      <alignment horizontal="right"/>
      <protection/>
    </xf>
    <xf numFmtId="3" fontId="106" fillId="33" borderId="0" xfId="0" applyNumberFormat="1" applyFont="1" applyFill="1" applyBorder="1" applyAlignment="1" applyProtection="1">
      <alignment horizontal="right"/>
      <protection locked="0"/>
    </xf>
    <xf numFmtId="171" fontId="65" fillId="0" borderId="0" xfId="0" applyNumberFormat="1" applyFont="1" applyFill="1" applyBorder="1" applyAlignment="1">
      <alignment/>
    </xf>
    <xf numFmtId="0" fontId="65" fillId="0" borderId="0" xfId="0" applyNumberFormat="1" applyFont="1" applyFill="1" applyBorder="1" applyAlignment="1">
      <alignment/>
    </xf>
    <xf numFmtId="175" fontId="65" fillId="0" borderId="0" xfId="0" applyNumberFormat="1" applyFont="1" applyFill="1" applyBorder="1" applyAlignment="1">
      <alignment/>
    </xf>
    <xf numFmtId="175" fontId="106" fillId="33" borderId="0" xfId="0" applyNumberFormat="1" applyFont="1" applyFill="1" applyBorder="1" applyAlignment="1" applyProtection="1">
      <alignment horizontal="right"/>
      <protection locked="0"/>
    </xf>
    <xf numFmtId="175" fontId="105" fillId="33" borderId="0" xfId="0" applyNumberFormat="1" applyFont="1" applyFill="1" applyBorder="1" applyAlignment="1" applyProtection="1">
      <alignment horizontal="right"/>
      <protection/>
    </xf>
    <xf numFmtId="171" fontId="63" fillId="0" borderId="0" xfId="0" applyNumberFormat="1" applyFont="1" applyFill="1" applyBorder="1" applyAlignment="1">
      <alignment/>
    </xf>
    <xf numFmtId="174" fontId="105" fillId="33" borderId="0" xfId="0" applyNumberFormat="1" applyFont="1" applyFill="1" applyBorder="1" applyAlignment="1" applyProtection="1">
      <alignment horizontal="right"/>
      <protection/>
    </xf>
    <xf numFmtId="3" fontId="63" fillId="0" borderId="0" xfId="0" applyNumberFormat="1" applyFont="1" applyFill="1" applyBorder="1" applyAlignment="1">
      <alignment/>
    </xf>
    <xf numFmtId="3" fontId="101" fillId="33" borderId="0" xfId="0" applyNumberFormat="1" applyFont="1" applyFill="1" applyBorder="1" applyAlignment="1" applyProtection="1">
      <alignment/>
      <protection/>
    </xf>
    <xf numFmtId="3" fontId="65" fillId="0" borderId="0" xfId="44" applyNumberFormat="1" applyFont="1" applyFill="1" applyBorder="1" applyAlignment="1">
      <alignment/>
    </xf>
    <xf numFmtId="0" fontId="105" fillId="39" borderId="0" xfId="0" applyNumberFormat="1" applyFont="1" applyFill="1" applyBorder="1" applyAlignment="1" applyProtection="1">
      <alignment/>
      <protection/>
    </xf>
    <xf numFmtId="175" fontId="105" fillId="39" borderId="0" xfId="0" applyNumberFormat="1" applyFont="1" applyFill="1" applyBorder="1" applyAlignment="1" applyProtection="1">
      <alignment/>
      <protection/>
    </xf>
    <xf numFmtId="3" fontId="65" fillId="0" borderId="0" xfId="0" applyNumberFormat="1" applyFont="1" applyFill="1" applyBorder="1" applyAlignment="1">
      <alignment/>
    </xf>
    <xf numFmtId="0" fontId="66" fillId="0" borderId="0" xfId="0" applyNumberFormat="1" applyFont="1" applyFill="1" applyBorder="1" applyAlignment="1">
      <alignment/>
    </xf>
    <xf numFmtId="3" fontId="63" fillId="0" borderId="0" xfId="0" applyNumberFormat="1" applyFont="1" applyFill="1" applyBorder="1" applyAlignment="1">
      <alignment horizontal="right"/>
    </xf>
    <xf numFmtId="0" fontId="55" fillId="0" borderId="0" xfId="0" applyNumberFormat="1" applyFont="1" applyFill="1" applyBorder="1" applyAlignment="1">
      <alignment/>
    </xf>
    <xf numFmtId="3" fontId="66" fillId="0" borderId="0" xfId="0" applyNumberFormat="1" applyFont="1" applyFill="1" applyBorder="1" applyAlignment="1">
      <alignment/>
    </xf>
    <xf numFmtId="178" fontId="63" fillId="33" borderId="0" xfId="46" applyNumberFormat="1" applyFont="1" applyFill="1" applyBorder="1" applyAlignment="1">
      <alignment/>
    </xf>
    <xf numFmtId="178" fontId="105" fillId="33" borderId="0" xfId="46" applyNumberFormat="1" applyFont="1" applyFill="1" applyBorder="1" applyAlignment="1" applyProtection="1">
      <alignment/>
      <protection/>
    </xf>
    <xf numFmtId="171" fontId="66" fillId="0" borderId="0" xfId="0" applyNumberFormat="1" applyFont="1" applyFill="1" applyBorder="1" applyAlignment="1">
      <alignment/>
    </xf>
    <xf numFmtId="3" fontId="8" fillId="0" borderId="0" xfId="0" applyNumberFormat="1" applyFont="1" applyFill="1" applyBorder="1" applyAlignment="1">
      <alignment/>
    </xf>
    <xf numFmtId="0" fontId="47" fillId="0" borderId="0" xfId="0" applyNumberFormat="1" applyFont="1" applyFill="1" applyBorder="1" applyAlignment="1">
      <alignment/>
    </xf>
    <xf numFmtId="179" fontId="63" fillId="33" borderId="0" xfId="46" applyNumberFormat="1" applyFont="1" applyFill="1" applyBorder="1" applyAlignment="1">
      <alignment/>
    </xf>
    <xf numFmtId="178" fontId="106" fillId="33" borderId="0" xfId="46" applyNumberFormat="1" applyFont="1" applyFill="1" applyBorder="1" applyAlignment="1" applyProtection="1">
      <alignment/>
      <protection locked="0"/>
    </xf>
    <xf numFmtId="179" fontId="47" fillId="33" borderId="0" xfId="46" applyNumberFormat="1" applyFont="1" applyFill="1" applyBorder="1" applyAlignment="1" applyProtection="1">
      <alignment/>
      <protection/>
    </xf>
    <xf numFmtId="178" fontId="47" fillId="33" borderId="0" xfId="46" applyNumberFormat="1" applyFont="1" applyFill="1" applyBorder="1" applyAlignment="1" applyProtection="1">
      <alignment/>
      <protection/>
    </xf>
    <xf numFmtId="178" fontId="101" fillId="33" borderId="0" xfId="46" applyNumberFormat="1" applyFont="1" applyFill="1" applyBorder="1" applyAlignment="1" applyProtection="1">
      <alignment/>
      <protection/>
    </xf>
    <xf numFmtId="175" fontId="66" fillId="0" borderId="0" xfId="0" applyNumberFormat="1" applyFont="1" applyFill="1" applyBorder="1" applyAlignment="1">
      <alignment/>
    </xf>
    <xf numFmtId="175" fontId="63" fillId="0" borderId="0" xfId="0" applyNumberFormat="1" applyFont="1" applyFill="1" applyBorder="1" applyAlignment="1">
      <alignment/>
    </xf>
    <xf numFmtId="175" fontId="55" fillId="0" borderId="0" xfId="0" applyNumberFormat="1" applyFont="1" applyFill="1" applyBorder="1" applyAlignment="1">
      <alignment/>
    </xf>
    <xf numFmtId="179" fontId="63" fillId="33" borderId="0" xfId="46" applyNumberFormat="1" applyFont="1" applyFill="1" applyBorder="1" applyAlignment="1" applyProtection="1">
      <alignment/>
      <protection/>
    </xf>
    <xf numFmtId="178" fontId="106" fillId="33" borderId="0" xfId="46" applyNumberFormat="1" applyFont="1" applyFill="1" applyBorder="1" applyAlignment="1" applyProtection="1">
      <alignment/>
      <protection/>
    </xf>
    <xf numFmtId="175" fontId="47" fillId="0" borderId="0" xfId="0" applyNumberFormat="1" applyFont="1" applyFill="1" applyBorder="1" applyAlignment="1">
      <alignment/>
    </xf>
    <xf numFmtId="171" fontId="100" fillId="38" borderId="0" xfId="0" applyNumberFormat="1" applyFont="1" applyFill="1" applyBorder="1" applyAlignment="1">
      <alignment/>
    </xf>
    <xf numFmtId="0" fontId="47" fillId="0" borderId="0" xfId="0" applyFont="1" applyFill="1" applyAlignment="1">
      <alignment/>
    </xf>
    <xf numFmtId="1" fontId="63" fillId="0" borderId="0" xfId="0" applyNumberFormat="1" applyFont="1" applyFill="1" applyBorder="1" applyAlignment="1">
      <alignment/>
    </xf>
    <xf numFmtId="171" fontId="68" fillId="0" borderId="0" xfId="0" applyNumberFormat="1" applyFont="1" applyFill="1" applyBorder="1" applyAlignment="1">
      <alignment/>
    </xf>
    <xf numFmtId="171" fontId="47" fillId="0" borderId="0" xfId="0" applyNumberFormat="1" applyFont="1" applyFill="1" applyBorder="1" applyAlignment="1">
      <alignment/>
    </xf>
    <xf numFmtId="171" fontId="63" fillId="33" borderId="0" xfId="44" applyNumberFormat="1" applyFont="1" applyFill="1" applyBorder="1" applyAlignment="1">
      <alignment/>
    </xf>
    <xf numFmtId="178" fontId="106" fillId="33" borderId="0" xfId="44" applyNumberFormat="1" applyFont="1" applyFill="1" applyBorder="1" applyAlignment="1" applyProtection="1">
      <alignment/>
      <protection locked="0"/>
    </xf>
    <xf numFmtId="171" fontId="47" fillId="33" borderId="0" xfId="44" applyNumberFormat="1" applyFont="1" applyFill="1" applyBorder="1" applyAlignment="1">
      <alignment/>
    </xf>
    <xf numFmtId="171" fontId="63" fillId="33" borderId="0" xfId="44" applyNumberFormat="1" applyFont="1" applyFill="1" applyBorder="1" applyAlignment="1" quotePrefix="1">
      <alignment/>
    </xf>
    <xf numFmtId="171" fontId="63" fillId="0" borderId="0" xfId="0" applyNumberFormat="1" applyFont="1" applyFill="1" applyAlignment="1">
      <alignment/>
    </xf>
    <xf numFmtId="178" fontId="63" fillId="33" borderId="0" xfId="44" applyNumberFormat="1" applyFont="1" applyFill="1" applyBorder="1" applyAlignment="1" applyProtection="1">
      <alignment/>
      <protection/>
    </xf>
    <xf numFmtId="4" fontId="65" fillId="0" borderId="0" xfId="0" applyNumberFormat="1" applyFont="1" applyAlignment="1">
      <alignment horizontal="left"/>
    </xf>
    <xf numFmtId="4" fontId="65" fillId="0" borderId="0" xfId="0" applyNumberFormat="1" applyFont="1" applyAlignment="1">
      <alignment horizontal="right"/>
    </xf>
    <xf numFmtId="1" fontId="65" fillId="0" borderId="0" xfId="0" applyNumberFormat="1" applyFont="1" applyFill="1" applyBorder="1" applyAlignment="1">
      <alignment/>
    </xf>
    <xf numFmtId="0" fontId="11" fillId="0" borderId="0" xfId="0" applyNumberFormat="1" applyFont="1" applyFill="1" applyBorder="1" applyAlignment="1">
      <alignment/>
    </xf>
    <xf numFmtId="179" fontId="63" fillId="33" borderId="0" xfId="44" applyNumberFormat="1" applyFont="1" applyFill="1" applyBorder="1" applyAlignment="1">
      <alignment/>
    </xf>
    <xf numFmtId="178" fontId="63" fillId="33" borderId="0" xfId="44" applyNumberFormat="1" applyFont="1" applyFill="1" applyBorder="1" applyAlignment="1">
      <alignment/>
    </xf>
    <xf numFmtId="178" fontId="105" fillId="33" borderId="0" xfId="44" applyNumberFormat="1" applyFont="1" applyFill="1" applyBorder="1" applyAlignment="1" applyProtection="1">
      <alignment/>
      <protection/>
    </xf>
    <xf numFmtId="179" fontId="63" fillId="33" borderId="0" xfId="44" applyNumberFormat="1" applyFont="1" applyFill="1" applyBorder="1" applyAlignment="1" applyProtection="1">
      <alignment/>
      <protection/>
    </xf>
    <xf numFmtId="0" fontId="63" fillId="0" borderId="0" xfId="0" applyNumberFormat="1" applyFont="1" applyFill="1" applyBorder="1" applyAlignment="1" applyProtection="1">
      <alignment/>
      <protection/>
    </xf>
    <xf numFmtId="0" fontId="11" fillId="0" borderId="0" xfId="0" applyFont="1" applyFill="1" applyAlignment="1">
      <alignment/>
    </xf>
    <xf numFmtId="171" fontId="63" fillId="33" borderId="0" xfId="46" applyNumberFormat="1" applyFont="1" applyFill="1" applyBorder="1" applyAlignment="1">
      <alignment horizontal="left" indent="2"/>
    </xf>
    <xf numFmtId="171" fontId="63" fillId="33" borderId="0" xfId="46" applyNumberFormat="1" applyFont="1" applyFill="1" applyBorder="1" applyAlignment="1">
      <alignment/>
    </xf>
    <xf numFmtId="171" fontId="47" fillId="33" borderId="0" xfId="46" applyNumberFormat="1" applyFont="1" applyFill="1" applyBorder="1" applyAlignment="1">
      <alignment horizontal="left" indent="1"/>
    </xf>
    <xf numFmtId="171" fontId="47" fillId="33" borderId="0" xfId="46" applyNumberFormat="1" applyFont="1" applyFill="1" applyBorder="1" applyAlignment="1">
      <alignment/>
    </xf>
    <xf numFmtId="175" fontId="63" fillId="40" borderId="0" xfId="46" applyNumberFormat="1" applyFont="1" applyFill="1" applyBorder="1" applyAlignment="1">
      <alignment/>
    </xf>
    <xf numFmtId="9" fontId="63" fillId="33" borderId="0" xfId="44" applyNumberFormat="1" applyFont="1" applyFill="1" applyBorder="1" applyAlignment="1">
      <alignment horizontal="right"/>
    </xf>
    <xf numFmtId="9" fontId="63" fillId="0" borderId="0" xfId="0" applyNumberFormat="1" applyFont="1" applyFill="1" applyBorder="1" applyAlignment="1">
      <alignment horizontal="right"/>
    </xf>
    <xf numFmtId="9" fontId="55" fillId="0" borderId="0" xfId="0" applyNumberFormat="1" applyFont="1" applyFill="1" applyBorder="1" applyAlignment="1">
      <alignment horizontal="right"/>
    </xf>
    <xf numFmtId="173" fontId="63" fillId="33" borderId="0" xfId="44" applyNumberFormat="1" applyFont="1" applyFill="1" applyBorder="1" applyAlignment="1">
      <alignment horizontal="right"/>
    </xf>
    <xf numFmtId="173" fontId="63" fillId="33" borderId="0" xfId="46" applyNumberFormat="1" applyFont="1" applyFill="1" applyBorder="1" applyAlignment="1">
      <alignment horizontal="right"/>
    </xf>
    <xf numFmtId="171" fontId="63" fillId="0" borderId="0" xfId="0" applyNumberFormat="1" applyFont="1" applyAlignment="1">
      <alignment horizontal="right"/>
    </xf>
    <xf numFmtId="2" fontId="63" fillId="0" borderId="0" xfId="0" applyNumberFormat="1" applyFont="1" applyFill="1" applyBorder="1" applyAlignment="1">
      <alignment/>
    </xf>
    <xf numFmtId="171" fontId="63" fillId="0" borderId="0" xfId="0" applyNumberFormat="1" applyFont="1" applyAlignment="1">
      <alignment/>
    </xf>
    <xf numFmtId="2" fontId="66" fillId="0" borderId="0" xfId="0" applyNumberFormat="1" applyFont="1" applyFill="1" applyBorder="1" applyAlignment="1">
      <alignment/>
    </xf>
    <xf numFmtId="175" fontId="63" fillId="33" borderId="0" xfId="0" applyNumberFormat="1" applyFont="1" applyFill="1" applyBorder="1" applyAlignment="1" applyProtection="1">
      <alignment/>
      <protection/>
    </xf>
    <xf numFmtId="0" fontId="0" fillId="0" borderId="0" xfId="0" applyNumberFormat="1" applyFont="1" applyFill="1" applyBorder="1" applyAlignment="1">
      <alignment/>
    </xf>
    <xf numFmtId="0" fontId="47" fillId="33" borderId="0" xfId="0" applyNumberFormat="1" applyFont="1" applyFill="1" applyBorder="1" applyAlignment="1" applyProtection="1">
      <alignment/>
      <protection/>
    </xf>
    <xf numFmtId="175" fontId="47" fillId="33" borderId="0" xfId="0" applyNumberFormat="1" applyFont="1" applyFill="1" applyBorder="1" applyAlignment="1" applyProtection="1">
      <alignment/>
      <protection/>
    </xf>
    <xf numFmtId="0" fontId="63" fillId="39" borderId="0" xfId="0" applyNumberFormat="1" applyFont="1" applyFill="1" applyBorder="1" applyAlignment="1" applyProtection="1">
      <alignment/>
      <protection/>
    </xf>
    <xf numFmtId="175" fontId="63" fillId="39" borderId="0" xfId="0" applyNumberFormat="1" applyFont="1" applyFill="1" applyBorder="1" applyAlignment="1" applyProtection="1">
      <alignment/>
      <protection/>
    </xf>
    <xf numFmtId="0" fontId="41" fillId="0" borderId="0" xfId="0" applyNumberFormat="1" applyFont="1" applyFill="1" applyBorder="1" applyAlignment="1">
      <alignment horizontal="center"/>
    </xf>
    <xf numFmtId="0" fontId="63" fillId="34" borderId="0" xfId="0" applyNumberFormat="1" applyFont="1" applyFill="1" applyBorder="1" applyAlignment="1">
      <alignment/>
    </xf>
    <xf numFmtId="0" fontId="100" fillId="34" borderId="0" xfId="0" applyNumberFormat="1" applyFont="1" applyFill="1" applyBorder="1" applyAlignment="1">
      <alignment/>
    </xf>
    <xf numFmtId="0" fontId="93" fillId="0" borderId="0" xfId="0" applyNumberFormat="1" applyFont="1" applyFill="1" applyBorder="1" applyAlignment="1">
      <alignment horizontal="center"/>
    </xf>
    <xf numFmtId="0" fontId="35" fillId="0" borderId="0" xfId="0" applyNumberFormat="1" applyFont="1" applyFill="1" applyBorder="1" applyAlignment="1">
      <alignment/>
    </xf>
    <xf numFmtId="0" fontId="69" fillId="0" borderId="0" xfId="0" applyNumberFormat="1" applyFont="1" applyFill="1" applyBorder="1" applyAlignment="1">
      <alignment/>
    </xf>
    <xf numFmtId="1" fontId="107" fillId="34" borderId="0" xfId="0" applyNumberFormat="1" applyFont="1" applyFill="1" applyBorder="1" applyAlignment="1" applyProtection="1">
      <alignment horizontal="right"/>
      <protection/>
    </xf>
    <xf numFmtId="0" fontId="12" fillId="0" borderId="0" xfId="0" applyNumberFormat="1" applyFont="1" applyFill="1" applyBorder="1" applyAlignment="1">
      <alignment horizontal="right"/>
    </xf>
    <xf numFmtId="3" fontId="12" fillId="33" borderId="0" xfId="0" applyNumberFormat="1" applyFont="1" applyFill="1" applyBorder="1" applyAlignment="1" applyProtection="1">
      <alignment horizontal="right"/>
      <protection/>
    </xf>
    <xf numFmtId="181" fontId="12" fillId="33" borderId="0" xfId="0" applyNumberFormat="1" applyFont="1" applyFill="1" applyBorder="1" applyAlignment="1" applyProtection="1">
      <alignment horizontal="right"/>
      <protection/>
    </xf>
    <xf numFmtId="175" fontId="108" fillId="33" borderId="0" xfId="0" applyNumberFormat="1" applyFont="1" applyFill="1" applyBorder="1" applyAlignment="1" applyProtection="1">
      <alignment horizontal="right"/>
      <protection/>
    </xf>
    <xf numFmtId="175" fontId="109" fillId="36" borderId="0" xfId="0" applyNumberFormat="1" applyFont="1" applyFill="1" applyAlignment="1">
      <alignment/>
    </xf>
    <xf numFmtId="3" fontId="110" fillId="33" borderId="0" xfId="0" applyNumberFormat="1" applyFont="1" applyFill="1" applyBorder="1" applyAlignment="1" applyProtection="1">
      <alignment horizontal="right"/>
      <protection locked="0"/>
    </xf>
    <xf numFmtId="181" fontId="110" fillId="33" borderId="0" xfId="0" applyNumberFormat="1" applyFont="1" applyFill="1" applyBorder="1" applyAlignment="1" applyProtection="1">
      <alignment horizontal="right"/>
      <protection locked="0"/>
    </xf>
    <xf numFmtId="0" fontId="106" fillId="33" borderId="0" xfId="0" applyNumberFormat="1" applyFont="1" applyFill="1" applyBorder="1" applyAlignment="1" applyProtection="1">
      <alignment/>
      <protection/>
    </xf>
    <xf numFmtId="0" fontId="111" fillId="33" borderId="0" xfId="0" applyNumberFormat="1" applyFont="1" applyFill="1" applyBorder="1" applyAlignment="1" applyProtection="1">
      <alignment/>
      <protection/>
    </xf>
    <xf numFmtId="0" fontId="99" fillId="34" borderId="18" xfId="0" applyNumberFormat="1" applyFont="1" applyFill="1" applyBorder="1" applyAlignment="1" applyProtection="1">
      <alignment horizontal="center" vertical="center" wrapText="1"/>
      <protection/>
    </xf>
    <xf numFmtId="0" fontId="99" fillId="34" borderId="19" xfId="0" applyNumberFormat="1" applyFont="1" applyFill="1" applyBorder="1" applyAlignment="1" applyProtection="1">
      <alignment horizontal="center" wrapText="1"/>
      <protection/>
    </xf>
    <xf numFmtId="0" fontId="99" fillId="34" borderId="20" xfId="0" applyNumberFormat="1" applyFont="1" applyFill="1" applyBorder="1" applyAlignment="1" applyProtection="1">
      <alignment horizontal="center" vertical="center"/>
      <protection/>
    </xf>
    <xf numFmtId="0" fontId="0" fillId="0" borderId="21" xfId="0" applyNumberFormat="1" applyFont="1" applyFill="1" applyBorder="1" applyAlignment="1">
      <alignment/>
    </xf>
    <xf numFmtId="0" fontId="41" fillId="0" borderId="22" xfId="0" applyNumberFormat="1" applyFont="1" applyFill="1" applyBorder="1" applyAlignment="1">
      <alignment horizontal="center"/>
    </xf>
    <xf numFmtId="10" fontId="93" fillId="0" borderId="22" xfId="0" applyNumberFormat="1" applyFont="1" applyFill="1" applyBorder="1" applyAlignment="1">
      <alignment horizontal="center"/>
    </xf>
    <xf numFmtId="0" fontId="93" fillId="33" borderId="21" xfId="0" applyNumberFormat="1" applyFont="1" applyFill="1" applyBorder="1" applyAlignment="1" applyProtection="1">
      <alignment horizontal="center"/>
      <protection/>
    </xf>
    <xf numFmtId="0" fontId="93" fillId="33" borderId="0" xfId="0" applyNumberFormat="1" applyFont="1" applyFill="1" applyBorder="1" applyAlignment="1" applyProtection="1">
      <alignment horizontal="center"/>
      <protection/>
    </xf>
    <xf numFmtId="10" fontId="93" fillId="33" borderId="22" xfId="0" applyNumberFormat="1" applyFont="1" applyFill="1" applyBorder="1" applyAlignment="1" applyProtection="1">
      <alignment horizontal="center"/>
      <protection/>
    </xf>
    <xf numFmtId="0" fontId="93" fillId="33" borderId="23" xfId="0" applyNumberFormat="1" applyFont="1" applyFill="1" applyBorder="1" applyAlignment="1" applyProtection="1">
      <alignment horizontal="center"/>
      <protection/>
    </xf>
    <xf numFmtId="0" fontId="93" fillId="33" borderId="24" xfId="0" applyNumberFormat="1" applyFont="1" applyFill="1" applyBorder="1" applyAlignment="1" applyProtection="1">
      <alignment horizontal="center"/>
      <protection/>
    </xf>
    <xf numFmtId="10" fontId="93" fillId="33" borderId="25" xfId="0" applyNumberFormat="1" applyFont="1" applyFill="1" applyBorder="1" applyAlignment="1" applyProtection="1">
      <alignment horizontal="center"/>
      <protection/>
    </xf>
    <xf numFmtId="0" fontId="41" fillId="0" borderId="21" xfId="0" applyNumberFormat="1" applyFont="1" applyFill="1" applyBorder="1" applyAlignment="1">
      <alignment/>
    </xf>
    <xf numFmtId="0" fontId="41" fillId="0" borderId="22" xfId="0" applyNumberFormat="1" applyFont="1" applyFill="1" applyBorder="1" applyAlignment="1">
      <alignment/>
    </xf>
    <xf numFmtId="0" fontId="41" fillId="0" borderId="23" xfId="0" applyNumberFormat="1" applyFont="1" applyFill="1" applyBorder="1" applyAlignment="1">
      <alignment/>
    </xf>
    <xf numFmtId="0" fontId="41" fillId="0" borderId="24" xfId="0" applyNumberFormat="1" applyFont="1" applyFill="1" applyBorder="1" applyAlignment="1">
      <alignment/>
    </xf>
    <xf numFmtId="0" fontId="41" fillId="0" borderId="25" xfId="0" applyNumberFormat="1" applyFont="1" applyFill="1" applyBorder="1" applyAlignment="1">
      <alignment/>
    </xf>
    <xf numFmtId="0" fontId="47" fillId="0" borderId="18" xfId="0" applyNumberFormat="1" applyFont="1" applyFill="1" applyBorder="1" applyAlignment="1">
      <alignment horizontal="left"/>
    </xf>
    <xf numFmtId="0" fontId="47" fillId="0" borderId="19" xfId="0" applyNumberFormat="1" applyFont="1" applyFill="1" applyBorder="1" applyAlignment="1">
      <alignment/>
    </xf>
    <xf numFmtId="0" fontId="38" fillId="0" borderId="19" xfId="0" applyNumberFormat="1" applyFont="1" applyFill="1" applyBorder="1" applyAlignment="1">
      <alignment/>
    </xf>
    <xf numFmtId="0" fontId="38" fillId="0" borderId="20" xfId="0" applyNumberFormat="1" applyFont="1" applyFill="1" applyBorder="1" applyAlignment="1">
      <alignment/>
    </xf>
    <xf numFmtId="0" fontId="47" fillId="0" borderId="21" xfId="0" applyNumberFormat="1" applyFont="1" applyFill="1" applyBorder="1" applyAlignment="1">
      <alignment horizontal="left"/>
    </xf>
    <xf numFmtId="0" fontId="38" fillId="0" borderId="0" xfId="0" applyNumberFormat="1" applyFont="1" applyFill="1" applyBorder="1" applyAlignment="1">
      <alignment/>
    </xf>
    <xf numFmtId="0" fontId="38" fillId="0" borderId="22" xfId="0" applyNumberFormat="1" applyFont="1" applyFill="1" applyBorder="1" applyAlignment="1">
      <alignment/>
    </xf>
    <xf numFmtId="9" fontId="63" fillId="0" borderId="0" xfId="62" applyFont="1" applyAlignment="1">
      <alignment horizontal="right"/>
    </xf>
    <xf numFmtId="188" fontId="112" fillId="0" borderId="0" xfId="42" applyNumberFormat="1" applyFont="1" applyFill="1" applyBorder="1" applyAlignment="1">
      <alignment/>
    </xf>
    <xf numFmtId="9" fontId="112" fillId="0" borderId="0" xfId="0" applyNumberFormat="1" applyFont="1" applyFill="1" applyBorder="1" applyAlignment="1">
      <alignment/>
    </xf>
    <xf numFmtId="188" fontId="112" fillId="0" borderId="24" xfId="42" applyNumberFormat="1" applyFont="1" applyFill="1" applyBorder="1" applyAlignment="1">
      <alignment/>
    </xf>
    <xf numFmtId="9" fontId="112" fillId="0" borderId="24" xfId="0" applyNumberFormat="1" applyFont="1" applyFill="1" applyBorder="1" applyAlignment="1">
      <alignment/>
    </xf>
    <xf numFmtId="0" fontId="111" fillId="0" borderId="0" xfId="0" applyNumberFormat="1" applyFont="1" applyFill="1" applyBorder="1" applyAlignment="1">
      <alignment horizontal="left"/>
    </xf>
    <xf numFmtId="177" fontId="63" fillId="33" borderId="0" xfId="46" applyNumberFormat="1" applyFont="1" applyFill="1" applyBorder="1" applyAlignment="1" applyProtection="1">
      <alignment/>
      <protection/>
    </xf>
    <xf numFmtId="0" fontId="75" fillId="0" borderId="0" xfId="0" applyNumberFormat="1" applyFont="1" applyFill="1" applyBorder="1" applyAlignment="1">
      <alignment horizontal="right" vertical="center"/>
    </xf>
    <xf numFmtId="0" fontId="41"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horizontal="center" vertical="top" wrapText="1"/>
    </xf>
    <xf numFmtId="171" fontId="13" fillId="0" borderId="0" xfId="58" applyNumberFormat="1" applyFont="1" applyFill="1" applyBorder="1" applyAlignment="1">
      <alignment horizontal="center"/>
    </xf>
    <xf numFmtId="171" fontId="13" fillId="0" borderId="26" xfId="58" applyNumberFormat="1" applyFont="1" applyFill="1" applyBorder="1" applyAlignment="1">
      <alignment horizontal="center"/>
    </xf>
    <xf numFmtId="171" fontId="13" fillId="0" borderId="27" xfId="58" applyNumberFormat="1" applyFont="1" applyFill="1" applyBorder="1" applyAlignment="1">
      <alignment horizontal="center"/>
    </xf>
    <xf numFmtId="171" fontId="13" fillId="0" borderId="28" xfId="58" applyNumberFormat="1" applyFont="1" applyFill="1" applyBorder="1" applyAlignment="1">
      <alignment horizontal="center"/>
    </xf>
    <xf numFmtId="171" fontId="48" fillId="0" borderId="0" xfId="58" applyNumberFormat="1" applyFont="1" applyFill="1" applyBorder="1" applyAlignment="1">
      <alignment horizontal="center"/>
    </xf>
    <xf numFmtId="0" fontId="48" fillId="0" borderId="0" xfId="58" applyNumberFormat="1"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Percent 2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FFFF00"/>
      <rgbColor rgb="000000FF"/>
      <rgbColor rgb="00FFFF99"/>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Resumen!$G$40:$K$40</c:f>
              <c:numCache>
                <c:ptCount val="5"/>
                <c:pt idx="0">
                  <c:v>168000</c:v>
                </c:pt>
                <c:pt idx="1">
                  <c:v>225000</c:v>
                </c:pt>
                <c:pt idx="2">
                  <c:v>248220</c:v>
                </c:pt>
                <c:pt idx="3">
                  <c:v>289450</c:v>
                </c:pt>
                <c:pt idx="4">
                  <c:v>364560</c:v>
                </c:pt>
              </c:numCache>
            </c:numRef>
          </c:val>
        </c:ser>
        <c:axId val="61904344"/>
        <c:axId val="20268185"/>
      </c:barChart>
      <c:catAx>
        <c:axId val="61904344"/>
        <c:scaling>
          <c:orientation val="minMax"/>
        </c:scaling>
        <c:axPos val="b"/>
        <c:delete val="0"/>
        <c:numFmt formatCode="General" sourceLinked="1"/>
        <c:majorTickMark val="out"/>
        <c:minorTickMark val="none"/>
        <c:tickLblPos val="nextTo"/>
        <c:spPr>
          <a:ln w="3175">
            <a:solidFill>
              <a:srgbClr val="808080"/>
            </a:solidFill>
          </a:ln>
        </c:spPr>
        <c:crossAx val="20268185"/>
        <c:crosses val="autoZero"/>
        <c:auto val="1"/>
        <c:lblOffset val="100"/>
        <c:tickLblSkip val="1"/>
        <c:noMultiLvlLbl val="0"/>
      </c:catAx>
      <c:valAx>
        <c:axId val="20268185"/>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61904344"/>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75"/>
          <c:w val="1"/>
          <c:h val="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Resumen!$G$46:$K$46</c:f>
              <c:numCache>
                <c:ptCount val="5"/>
                <c:pt idx="0">
                  <c:v>10007.833333333336</c:v>
                </c:pt>
                <c:pt idx="1">
                  <c:v>21534.58333333334</c:v>
                </c:pt>
                <c:pt idx="2">
                  <c:v>29547.33333333334</c:v>
                </c:pt>
                <c:pt idx="3">
                  <c:v>43150.883333333346</c:v>
                </c:pt>
                <c:pt idx="4">
                  <c:v>61620.03333333337</c:v>
                </c:pt>
              </c:numCache>
            </c:numRef>
          </c:val>
        </c:ser>
        <c:axId val="64593458"/>
        <c:axId val="44470211"/>
      </c:barChart>
      <c:catAx>
        <c:axId val="64593458"/>
        <c:scaling>
          <c:orientation val="minMax"/>
        </c:scaling>
        <c:axPos val="b"/>
        <c:delete val="0"/>
        <c:numFmt formatCode="General" sourceLinked="1"/>
        <c:majorTickMark val="out"/>
        <c:minorTickMark val="none"/>
        <c:tickLblPos val="nextTo"/>
        <c:spPr>
          <a:ln w="3175">
            <a:solidFill>
              <a:srgbClr val="808080"/>
            </a:solidFill>
          </a:ln>
        </c:spPr>
        <c:crossAx val="44470211"/>
        <c:crosses val="autoZero"/>
        <c:auto val="1"/>
        <c:lblOffset val="100"/>
        <c:tickLblSkip val="1"/>
        <c:noMultiLvlLbl val="0"/>
      </c:catAx>
      <c:valAx>
        <c:axId val="4447021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64593458"/>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Resumen!$M$46:$AJ$46</c:f>
              <c:numCache>
                <c:ptCount val="24"/>
                <c:pt idx="0">
                  <c:v>5125.652777777777</c:v>
                </c:pt>
                <c:pt idx="1">
                  <c:v>5751.305555555555</c:v>
                </c:pt>
                <c:pt idx="2">
                  <c:v>6376.958333333332</c:v>
                </c:pt>
                <c:pt idx="3">
                  <c:v>7002.6111111111095</c:v>
                </c:pt>
                <c:pt idx="4">
                  <c:v>7628.263888888887</c:v>
                </c:pt>
                <c:pt idx="5">
                  <c:v>8253.916666666664</c:v>
                </c:pt>
                <c:pt idx="6">
                  <c:v>8879.569444444442</c:v>
                </c:pt>
                <c:pt idx="7">
                  <c:v>9505.222222222219</c:v>
                </c:pt>
                <c:pt idx="8">
                  <c:v>10130.874999999996</c:v>
                </c:pt>
                <c:pt idx="9">
                  <c:v>10756.527777777774</c:v>
                </c:pt>
                <c:pt idx="10">
                  <c:v>11382.180555555551</c:v>
                </c:pt>
                <c:pt idx="11">
                  <c:v>10007.833333333328</c:v>
                </c:pt>
                <c:pt idx="12">
                  <c:v>9385.062499999996</c:v>
                </c:pt>
                <c:pt idx="13">
                  <c:v>10762.291666666662</c:v>
                </c:pt>
                <c:pt idx="14">
                  <c:v>12139.520833333328</c:v>
                </c:pt>
                <c:pt idx="15">
                  <c:v>13516.749999999995</c:v>
                </c:pt>
                <c:pt idx="16">
                  <c:v>14893.97916666666</c:v>
                </c:pt>
                <c:pt idx="17">
                  <c:v>16271.208333333327</c:v>
                </c:pt>
                <c:pt idx="18">
                  <c:v>17648.437499999993</c:v>
                </c:pt>
                <c:pt idx="19">
                  <c:v>19025.66666666666</c:v>
                </c:pt>
                <c:pt idx="20">
                  <c:v>20402.89583333333</c:v>
                </c:pt>
                <c:pt idx="21">
                  <c:v>21780.124999999996</c:v>
                </c:pt>
                <c:pt idx="22">
                  <c:v>23157.354166666664</c:v>
                </c:pt>
                <c:pt idx="23">
                  <c:v>21534.583333333332</c:v>
                </c:pt>
              </c:numCache>
            </c:numRef>
          </c:val>
          <c:smooth val="0"/>
        </c:ser>
        <c:marker val="1"/>
        <c:axId val="64687580"/>
        <c:axId val="45317309"/>
      </c:lineChart>
      <c:dateAx>
        <c:axId val="64687580"/>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45317309"/>
        <c:crosses val="autoZero"/>
        <c:auto val="0"/>
        <c:baseTimeUnit val="months"/>
        <c:majorUnit val="3"/>
        <c:majorTimeUnit val="months"/>
        <c:minorUnit val="3"/>
        <c:minorTimeUnit val="months"/>
        <c:noMultiLvlLbl val="0"/>
      </c:dateAx>
      <c:valAx>
        <c:axId val="45317309"/>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64687580"/>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75"/>
          <c:w val="1"/>
          <c:h val="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Resumen!$G$44:$K$44</c:f>
              <c:numCache>
                <c:ptCount val="5"/>
                <c:pt idx="0">
                  <c:v>24874.347222222223</c:v>
                </c:pt>
                <c:pt idx="1">
                  <c:v>0</c:v>
                </c:pt>
                <c:pt idx="2">
                  <c:v>0</c:v>
                </c:pt>
                <c:pt idx="3">
                  <c:v>0</c:v>
                </c:pt>
                <c:pt idx="4">
                  <c:v>0</c:v>
                </c:pt>
              </c:numCache>
            </c:numRef>
          </c:val>
        </c:ser>
        <c:axId val="5202598"/>
        <c:axId val="46823383"/>
      </c:barChart>
      <c:catAx>
        <c:axId val="5202598"/>
        <c:scaling>
          <c:orientation val="minMax"/>
        </c:scaling>
        <c:axPos val="b"/>
        <c:delete val="0"/>
        <c:numFmt formatCode="General" sourceLinked="1"/>
        <c:majorTickMark val="out"/>
        <c:minorTickMark val="none"/>
        <c:tickLblPos val="nextTo"/>
        <c:spPr>
          <a:ln w="3175">
            <a:solidFill>
              <a:srgbClr val="808080"/>
            </a:solidFill>
          </a:ln>
        </c:spPr>
        <c:crossAx val="46823383"/>
        <c:crosses val="autoZero"/>
        <c:auto val="1"/>
        <c:lblOffset val="100"/>
        <c:tickLblSkip val="1"/>
        <c:noMultiLvlLbl val="0"/>
      </c:catAx>
      <c:valAx>
        <c:axId val="46823383"/>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5202598"/>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Resumen!$M$44:$AJ$44</c:f>
              <c:numCache>
                <c:ptCount val="24"/>
                <c:pt idx="0">
                  <c:v>24874.347222222223</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18757264"/>
        <c:axId val="34597649"/>
      </c:lineChart>
      <c:dateAx>
        <c:axId val="18757264"/>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34597649"/>
        <c:crosses val="autoZero"/>
        <c:auto val="0"/>
        <c:baseTimeUnit val="months"/>
        <c:majorUnit val="3"/>
        <c:majorTimeUnit val="months"/>
        <c:minorUnit val="3"/>
        <c:minorTimeUnit val="months"/>
        <c:noMultiLvlLbl val="0"/>
      </c:dateAx>
      <c:valAx>
        <c:axId val="34597649"/>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18757264"/>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75"/>
          <c:w val="1"/>
          <c:h val="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Resumen!$G$47:$K$47</c:f>
              <c:numCache>
                <c:ptCount val="5"/>
                <c:pt idx="0">
                  <c:v>136500</c:v>
                </c:pt>
                <c:pt idx="1">
                  <c:v>143571.42857142855</c:v>
                </c:pt>
                <c:pt idx="2">
                  <c:v>150145.94594594595</c:v>
                </c:pt>
                <c:pt idx="3">
                  <c:v>189245.75319148935</c:v>
                </c:pt>
                <c:pt idx="4">
                  <c:v>231111.10040160638</c:v>
                </c:pt>
              </c:numCache>
            </c:numRef>
          </c:val>
        </c:ser>
        <c:axId val="42943386"/>
        <c:axId val="50946155"/>
      </c:barChart>
      <c:catAx>
        <c:axId val="42943386"/>
        <c:scaling>
          <c:orientation val="minMax"/>
        </c:scaling>
        <c:axPos val="b"/>
        <c:delete val="0"/>
        <c:numFmt formatCode="General" sourceLinked="1"/>
        <c:majorTickMark val="out"/>
        <c:minorTickMark val="none"/>
        <c:tickLblPos val="nextTo"/>
        <c:spPr>
          <a:ln w="3175">
            <a:solidFill>
              <a:srgbClr val="808080"/>
            </a:solidFill>
          </a:ln>
        </c:spPr>
        <c:crossAx val="50946155"/>
        <c:crosses val="autoZero"/>
        <c:auto val="1"/>
        <c:lblOffset val="100"/>
        <c:tickLblSkip val="1"/>
        <c:noMultiLvlLbl val="0"/>
      </c:catAx>
      <c:valAx>
        <c:axId val="50946155"/>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42943386"/>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Resumen!$M$47:$AJ$47</c:f>
              <c:numCache>
                <c:ptCount val="24"/>
                <c:pt idx="0">
                  <c:v>11375</c:v>
                </c:pt>
                <c:pt idx="1">
                  <c:v>11375</c:v>
                </c:pt>
                <c:pt idx="2">
                  <c:v>11375</c:v>
                </c:pt>
                <c:pt idx="3">
                  <c:v>11375</c:v>
                </c:pt>
                <c:pt idx="4">
                  <c:v>11375</c:v>
                </c:pt>
                <c:pt idx="5">
                  <c:v>11375</c:v>
                </c:pt>
                <c:pt idx="6">
                  <c:v>11375</c:v>
                </c:pt>
                <c:pt idx="7">
                  <c:v>11375</c:v>
                </c:pt>
                <c:pt idx="8">
                  <c:v>11375</c:v>
                </c:pt>
                <c:pt idx="9">
                  <c:v>11375</c:v>
                </c:pt>
                <c:pt idx="10">
                  <c:v>11375</c:v>
                </c:pt>
                <c:pt idx="11">
                  <c:v>11375</c:v>
                </c:pt>
                <c:pt idx="12">
                  <c:v>11964.285714285714</c:v>
                </c:pt>
                <c:pt idx="13">
                  <c:v>11964.285714285714</c:v>
                </c:pt>
                <c:pt idx="14">
                  <c:v>11964.285714285714</c:v>
                </c:pt>
                <c:pt idx="15">
                  <c:v>11964.285714285714</c:v>
                </c:pt>
                <c:pt idx="16">
                  <c:v>11964.285714285714</c:v>
                </c:pt>
                <c:pt idx="17">
                  <c:v>11964.285714285714</c:v>
                </c:pt>
                <c:pt idx="18">
                  <c:v>11964.285714285714</c:v>
                </c:pt>
                <c:pt idx="19">
                  <c:v>11964.285714285714</c:v>
                </c:pt>
                <c:pt idx="20">
                  <c:v>11964.285714285714</c:v>
                </c:pt>
                <c:pt idx="21">
                  <c:v>11964.285714285714</c:v>
                </c:pt>
                <c:pt idx="22">
                  <c:v>11964.285714285714</c:v>
                </c:pt>
                <c:pt idx="23">
                  <c:v>11964.285714285714</c:v>
                </c:pt>
              </c:numCache>
            </c:numRef>
          </c:val>
          <c:smooth val="0"/>
        </c:ser>
        <c:marker val="1"/>
        <c:axId val="55862212"/>
        <c:axId val="32997861"/>
      </c:lineChart>
      <c:dateAx>
        <c:axId val="55862212"/>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32997861"/>
        <c:crosses val="autoZero"/>
        <c:auto val="0"/>
        <c:baseTimeUnit val="months"/>
        <c:majorUnit val="3"/>
        <c:majorTimeUnit val="months"/>
        <c:minorUnit val="3"/>
        <c:minorTimeUnit val="months"/>
        <c:noMultiLvlLbl val="0"/>
      </c:dateAx>
      <c:valAx>
        <c:axId val="3299786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55862212"/>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78425"/>
          <c:h val="0.9365"/>
        </c:manualLayout>
      </c:layout>
      <c:barChart>
        <c:barDir val="col"/>
        <c:grouping val="clustered"/>
        <c:varyColors val="0"/>
        <c:ser>
          <c:idx val="0"/>
          <c:order val="1"/>
          <c:tx>
            <c:strRef>
              <c:f>Resumen!$D$60</c:f>
              <c:strCache>
                <c:ptCount val="1"/>
                <c:pt idx="0">
                  <c:v>Caja generada por operaciones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Resumen!$G$38:$K$38</c:f>
              <c:numCache>
                <c:ptCount val="5"/>
                <c:pt idx="0">
                  <c:v>2016</c:v>
                </c:pt>
                <c:pt idx="1">
                  <c:v>2017</c:v>
                </c:pt>
                <c:pt idx="2">
                  <c:v>2018</c:v>
                </c:pt>
                <c:pt idx="3">
                  <c:v>2019</c:v>
                </c:pt>
                <c:pt idx="4">
                  <c:v>2020</c:v>
                </c:pt>
              </c:numCache>
            </c:numRef>
          </c:cat>
          <c:val>
            <c:numRef>
              <c:f>Resumen!$G$60:$K$60</c:f>
              <c:numCache>
                <c:ptCount val="5"/>
                <c:pt idx="0">
                  <c:v>7507.833333333334</c:v>
                </c:pt>
                <c:pt idx="1">
                  <c:v>16526.750000000004</c:v>
                </c:pt>
                <c:pt idx="2">
                  <c:v>20012.75</c:v>
                </c:pt>
                <c:pt idx="3">
                  <c:v>20603.550000000003</c:v>
                </c:pt>
                <c:pt idx="4">
                  <c:v>27469.15000000002</c:v>
                </c:pt>
              </c:numCache>
            </c:numRef>
          </c:val>
        </c:ser>
        <c:ser>
          <c:idx val="1"/>
          <c:order val="2"/>
          <c:tx>
            <c:strRef>
              <c:f>Resumen!$D$61</c:f>
              <c:strCache>
                <c:ptCount val="1"/>
                <c:pt idx="0">
                  <c:v>Inversión en capital de trabajo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Resumen!$G$38:$K$38</c:f>
              <c:numCache>
                <c:ptCount val="5"/>
                <c:pt idx="0">
                  <c:v>2016</c:v>
                </c:pt>
                <c:pt idx="1">
                  <c:v>2017</c:v>
                </c:pt>
                <c:pt idx="2">
                  <c:v>2018</c:v>
                </c:pt>
                <c:pt idx="3">
                  <c:v>2019</c:v>
                </c:pt>
                <c:pt idx="4">
                  <c:v>2020</c:v>
                </c:pt>
              </c:numCache>
            </c:numRef>
          </c:cat>
          <c:val>
            <c:numRef>
              <c:f>Resumen!$G$61:$K$61</c:f>
              <c:numCache>
                <c:ptCount val="5"/>
                <c:pt idx="0">
                  <c:v>0</c:v>
                </c:pt>
                <c:pt idx="1">
                  <c:v>0</c:v>
                </c:pt>
                <c:pt idx="2">
                  <c:v>0</c:v>
                </c:pt>
                <c:pt idx="3">
                  <c:v>0</c:v>
                </c:pt>
                <c:pt idx="4">
                  <c:v>0</c:v>
                </c:pt>
              </c:numCache>
            </c:numRef>
          </c:val>
        </c:ser>
        <c:ser>
          <c:idx val="2"/>
          <c:order val="3"/>
          <c:tx>
            <c:strRef>
              <c:f>Resumen!$D$62</c:f>
              <c:strCache>
                <c:ptCount val="1"/>
                <c:pt idx="0">
                  <c:v>Inversión en activos fijos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Resumen!$G$38:$K$38</c:f>
              <c:numCache>
                <c:ptCount val="5"/>
                <c:pt idx="0">
                  <c:v>2016</c:v>
                </c:pt>
                <c:pt idx="1">
                  <c:v>2017</c:v>
                </c:pt>
                <c:pt idx="2">
                  <c:v>2018</c:v>
                </c:pt>
                <c:pt idx="3">
                  <c:v>2019</c:v>
                </c:pt>
                <c:pt idx="4">
                  <c:v>2020</c:v>
                </c:pt>
              </c:numCache>
            </c:numRef>
          </c:cat>
          <c:val>
            <c:numRef>
              <c:f>Resumen!$G$62:$K$62</c:f>
              <c:numCache>
                <c:ptCount val="5"/>
                <c:pt idx="0">
                  <c:v>-25500</c:v>
                </c:pt>
                <c:pt idx="1">
                  <c:v>-7000</c:v>
                </c:pt>
                <c:pt idx="2">
                  <c:v>-7000</c:v>
                </c:pt>
                <c:pt idx="3">
                  <c:v>0</c:v>
                </c:pt>
                <c:pt idx="4">
                  <c:v>0</c:v>
                </c:pt>
              </c:numCache>
            </c:numRef>
          </c:val>
        </c:ser>
        <c:ser>
          <c:idx val="3"/>
          <c:order val="4"/>
          <c:tx>
            <c:strRef>
              <c:f>Resumen!$D$63</c:f>
              <c:strCache>
                <c:ptCount val="1"/>
                <c:pt idx="0">
                  <c:v>Financiamiento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Resumen!$G$38:$K$38</c:f>
              <c:numCache>
                <c:ptCount val="5"/>
                <c:pt idx="0">
                  <c:v>2016</c:v>
                </c:pt>
                <c:pt idx="1">
                  <c:v>2017</c:v>
                </c:pt>
                <c:pt idx="2">
                  <c:v>2018</c:v>
                </c:pt>
                <c:pt idx="3">
                  <c:v>2019</c:v>
                </c:pt>
                <c:pt idx="4">
                  <c:v>2020</c:v>
                </c:pt>
              </c:numCache>
            </c:numRef>
          </c:cat>
          <c:val>
            <c:numRef>
              <c:f>Resumen!$G$63:$K$63</c:f>
              <c:numCache>
                <c:ptCount val="5"/>
                <c:pt idx="0">
                  <c:v>28000</c:v>
                </c:pt>
                <c:pt idx="1">
                  <c:v>2000</c:v>
                </c:pt>
                <c:pt idx="2">
                  <c:v>-5000</c:v>
                </c:pt>
                <c:pt idx="3">
                  <c:v>-7000</c:v>
                </c:pt>
                <c:pt idx="4">
                  <c:v>-9000</c:v>
                </c:pt>
              </c:numCache>
            </c:numRef>
          </c:val>
        </c:ser>
        <c:axId val="28545294"/>
        <c:axId val="55581055"/>
      </c:barChart>
      <c:lineChart>
        <c:grouping val="standard"/>
        <c:varyColors val="0"/>
        <c:ser>
          <c:idx val="4"/>
          <c:order val="0"/>
          <c:tx>
            <c:v>Flujo de caja del negocio</c:v>
          </c:tx>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6666CC"/>
              </a:solidFill>
              <a:ln>
                <a:solidFill>
                  <a:srgbClr val="33CCCC"/>
                </a:solidFill>
              </a:ln>
            </c:spPr>
          </c:marker>
          <c:dLbls>
            <c:numFmt formatCode="General" sourceLinked="1"/>
            <c:dLblPos val="t"/>
            <c:showLegendKey val="0"/>
            <c:showVal val="1"/>
            <c:showBubbleSize val="0"/>
            <c:showCatName val="0"/>
            <c:showSerName val="0"/>
            <c:showLeaderLines val="1"/>
            <c:showPercent val="0"/>
          </c:dLbls>
          <c:cat>
            <c:numRef>
              <c:f>Resumen!$G$38:$K$38</c:f>
              <c:numCache>
                <c:ptCount val="5"/>
                <c:pt idx="0">
                  <c:v>2016</c:v>
                </c:pt>
                <c:pt idx="1">
                  <c:v>2017</c:v>
                </c:pt>
                <c:pt idx="2">
                  <c:v>2018</c:v>
                </c:pt>
                <c:pt idx="3">
                  <c:v>2019</c:v>
                </c:pt>
                <c:pt idx="4">
                  <c:v>2020</c:v>
                </c:pt>
              </c:numCache>
            </c:numRef>
          </c:cat>
          <c:val>
            <c:numRef>
              <c:f>Resumen!$G$45:$K$45</c:f>
              <c:numCache>
                <c:ptCount val="5"/>
                <c:pt idx="0">
                  <c:v>10007.833333333336</c:v>
                </c:pt>
                <c:pt idx="1">
                  <c:v>11526.750000000004</c:v>
                </c:pt>
                <c:pt idx="2">
                  <c:v>8012.75</c:v>
                </c:pt>
                <c:pt idx="3">
                  <c:v>13603.550000000003</c:v>
                </c:pt>
                <c:pt idx="4">
                  <c:v>18469.15000000002</c:v>
                </c:pt>
              </c:numCache>
            </c:numRef>
          </c:val>
          <c:smooth val="0"/>
        </c:ser>
        <c:axId val="28545294"/>
        <c:axId val="55581055"/>
      </c:lineChart>
      <c:catAx>
        <c:axId val="28545294"/>
        <c:scaling>
          <c:orientation val="minMax"/>
        </c:scaling>
        <c:axPos val="b"/>
        <c:delete val="0"/>
        <c:numFmt formatCode="General" sourceLinked="1"/>
        <c:majorTickMark val="none"/>
        <c:minorTickMark val="none"/>
        <c:tickLblPos val="nextTo"/>
        <c:spPr>
          <a:ln w="3175">
            <a:solidFill>
              <a:srgbClr val="808080"/>
            </a:solidFill>
          </a:ln>
        </c:spPr>
        <c:crossAx val="55581055"/>
        <c:crosses val="autoZero"/>
        <c:auto val="1"/>
        <c:lblOffset val="100"/>
        <c:tickLblSkip val="1"/>
        <c:noMultiLvlLbl val="0"/>
      </c:catAx>
      <c:valAx>
        <c:axId val="55581055"/>
        <c:scaling>
          <c:orientation val="minMax"/>
        </c:scaling>
        <c:axPos val="l"/>
        <c:majorGridlines>
          <c:spPr>
            <a:ln w="3175">
              <a:solidFill>
                <a:srgbClr val="C0C0C0"/>
              </a:solidFill>
              <a:prstDash val="dash"/>
            </a:ln>
          </c:spPr>
        </c:majorGridlines>
        <c:delete val="0"/>
        <c:numFmt formatCode="General" sourceLinked="1"/>
        <c:majorTickMark val="none"/>
        <c:minorTickMark val="none"/>
        <c:tickLblPos val="nextTo"/>
        <c:spPr>
          <a:ln w="12700">
            <a:solidFill>
              <a:srgbClr val="010000"/>
            </a:solidFill>
          </a:ln>
        </c:spPr>
        <c:crossAx val="28545294"/>
        <c:crossesAt val="1"/>
        <c:crossBetween val="between"/>
        <c:dispUnits/>
      </c:valAx>
      <c:spPr>
        <a:solidFill>
          <a:srgbClr val="FFFFFF"/>
        </a:solidFill>
        <a:ln w="3175">
          <a:noFill/>
        </a:ln>
      </c:spPr>
    </c:plotArea>
    <c:legend>
      <c:legendPos val="r"/>
      <c:layout>
        <c:manualLayout>
          <c:xMode val="edge"/>
          <c:yMode val="edge"/>
          <c:x val="0.73975"/>
          <c:y val="0.31725"/>
          <c:w val="0.25675"/>
          <c:h val="0.426"/>
        </c:manualLayout>
      </c:layout>
      <c:overlay val="0"/>
      <c:spPr>
        <a:noFill/>
        <a:ln w="3175">
          <a:noFill/>
        </a:ln>
      </c:spPr>
      <c:txPr>
        <a:bodyPr vert="horz" rot="0"/>
        <a:lstStyle/>
        <a:p>
          <a:pPr>
            <a:defRPr lang="en-US" cap="none" sz="920" b="0" i="0" u="none" baseline="0">
              <a:solidFill>
                <a:srgbClr val="333333"/>
              </a:solidFil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Resumen!$M$40:$AJ$40</c:f>
              <c:numCache>
                <c:ptCount val="24"/>
                <c:pt idx="0">
                  <c:v>14000</c:v>
                </c:pt>
                <c:pt idx="1">
                  <c:v>14000</c:v>
                </c:pt>
                <c:pt idx="2">
                  <c:v>14000</c:v>
                </c:pt>
                <c:pt idx="3">
                  <c:v>14000</c:v>
                </c:pt>
                <c:pt idx="4">
                  <c:v>14000</c:v>
                </c:pt>
                <c:pt idx="5">
                  <c:v>14000</c:v>
                </c:pt>
                <c:pt idx="6">
                  <c:v>14000</c:v>
                </c:pt>
                <c:pt idx="7">
                  <c:v>14000</c:v>
                </c:pt>
                <c:pt idx="8">
                  <c:v>14000</c:v>
                </c:pt>
                <c:pt idx="9">
                  <c:v>14000</c:v>
                </c:pt>
                <c:pt idx="10">
                  <c:v>14000</c:v>
                </c:pt>
                <c:pt idx="11">
                  <c:v>14000</c:v>
                </c:pt>
                <c:pt idx="12">
                  <c:v>18750</c:v>
                </c:pt>
                <c:pt idx="13">
                  <c:v>18750</c:v>
                </c:pt>
                <c:pt idx="14">
                  <c:v>18750</c:v>
                </c:pt>
                <c:pt idx="15">
                  <c:v>18750</c:v>
                </c:pt>
                <c:pt idx="16">
                  <c:v>18750</c:v>
                </c:pt>
                <c:pt idx="17">
                  <c:v>18750</c:v>
                </c:pt>
                <c:pt idx="18">
                  <c:v>18750</c:v>
                </c:pt>
                <c:pt idx="19">
                  <c:v>18750</c:v>
                </c:pt>
                <c:pt idx="20">
                  <c:v>18750</c:v>
                </c:pt>
                <c:pt idx="21">
                  <c:v>18750</c:v>
                </c:pt>
                <c:pt idx="22">
                  <c:v>18750</c:v>
                </c:pt>
                <c:pt idx="23">
                  <c:v>18750</c:v>
                </c:pt>
              </c:numCache>
            </c:numRef>
          </c:val>
          <c:smooth val="0"/>
        </c:ser>
        <c:marker val="1"/>
        <c:axId val="48195938"/>
        <c:axId val="31110259"/>
      </c:lineChart>
      <c:dateAx>
        <c:axId val="48195938"/>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31110259"/>
        <c:crosses val="autoZero"/>
        <c:auto val="0"/>
        <c:baseTimeUnit val="months"/>
        <c:majorUnit val="3"/>
        <c:majorTimeUnit val="months"/>
        <c:minorUnit val="3"/>
        <c:minorTimeUnit val="months"/>
        <c:noMultiLvlLbl val="0"/>
      </c:dateAx>
      <c:valAx>
        <c:axId val="31110259"/>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48195938"/>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25"/>
          <c:w val="0.979"/>
          <c:h val="0.956"/>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6666CC"/>
              </a:solidFill>
              <a:ln>
                <a:solidFill>
                  <a:srgbClr val="6666CC"/>
                </a:solidFill>
              </a:ln>
            </c:spPr>
          </c:marker>
          <c:dLbls>
            <c:dLbl>
              <c:idx val="1"/>
              <c:delete val="1"/>
            </c:dLbl>
            <c:dLbl>
              <c:idx val="3"/>
              <c:delete val="1"/>
            </c:dLbl>
            <c:dLbl>
              <c:idx val="5"/>
              <c:delete val="1"/>
            </c:dLbl>
            <c:dLbl>
              <c:idx val="7"/>
              <c:delete val="1"/>
            </c:dLbl>
            <c:dLbl>
              <c:idx val="9"/>
              <c:delete val="1"/>
            </c:dLbl>
            <c:dLbl>
              <c:idx val="11"/>
              <c:delete val="1"/>
            </c:dLbl>
            <c:dLbl>
              <c:idx val="13"/>
              <c:delete val="1"/>
            </c:dLbl>
            <c:dLbl>
              <c:idx val="15"/>
              <c:delete val="1"/>
            </c:dLbl>
            <c:dLbl>
              <c:idx val="17"/>
              <c:delete val="1"/>
            </c:dLbl>
            <c:dLbl>
              <c:idx val="19"/>
              <c:delete val="1"/>
            </c:dLbl>
            <c:numFmt formatCode="\$\ #,##0" sourceLinked="0"/>
            <c:txPr>
              <a:bodyPr vert="horz" rot="0" anchor="ctr"/>
              <a:lstStyle/>
              <a:p>
                <a:pPr algn="ctr">
                  <a:defRPr lang="en-US" cap="none" sz="800" b="0" i="0" u="none" baseline="0">
                    <a:solidFill>
                      <a:srgbClr val="333333"/>
                    </a:solidFill>
                  </a:defRPr>
                </a:pPr>
              </a:p>
            </c:txPr>
            <c:dLblPos val="t"/>
            <c:showLegendKey val="0"/>
            <c:showVal val="1"/>
            <c:showBubbleSize val="0"/>
            <c:showCatName val="0"/>
            <c:showSerName val="0"/>
            <c:showLeaderLines val="1"/>
            <c:showPercent val="0"/>
          </c:dLbls>
          <c:cat>
            <c:numRef>
              <c:f>Resumen!$G$56:$AA$56</c:f>
              <c:numCache>
                <c:ptCount val="21"/>
                <c:pt idx="0">
                  <c:v>0</c:v>
                </c:pt>
                <c:pt idx="1">
                  <c:v>0.05</c:v>
                </c:pt>
                <c:pt idx="2">
                  <c:v>0.1</c:v>
                </c:pt>
                <c:pt idx="3">
                  <c:v>0.15</c:v>
                </c:pt>
                <c:pt idx="4">
                  <c:v>0.2</c:v>
                </c:pt>
                <c:pt idx="5">
                  <c:v>0.25</c:v>
                </c:pt>
                <c:pt idx="6">
                  <c:v>0.3</c:v>
                </c:pt>
                <c:pt idx="7">
                  <c:v>0.35</c:v>
                </c:pt>
                <c:pt idx="8">
                  <c:v>0.4</c:v>
                </c:pt>
                <c:pt idx="9">
                  <c:v>0.45</c:v>
                </c:pt>
                <c:pt idx="10">
                  <c:v>0.5</c:v>
                </c:pt>
                <c:pt idx="11">
                  <c:v>0.55</c:v>
                </c:pt>
                <c:pt idx="12">
                  <c:v>0.6</c:v>
                </c:pt>
                <c:pt idx="13">
                  <c:v>0.65</c:v>
                </c:pt>
                <c:pt idx="14">
                  <c:v>0.7</c:v>
                </c:pt>
                <c:pt idx="15">
                  <c:v>0.75</c:v>
                </c:pt>
                <c:pt idx="16">
                  <c:v>0.8</c:v>
                </c:pt>
                <c:pt idx="17">
                  <c:v>0.85</c:v>
                </c:pt>
                <c:pt idx="18">
                  <c:v>0.9</c:v>
                </c:pt>
                <c:pt idx="19">
                  <c:v>0.95</c:v>
                </c:pt>
                <c:pt idx="20">
                  <c:v>1</c:v>
                </c:pt>
              </c:numCache>
            </c:numRef>
          </c:cat>
          <c:val>
            <c:numRef>
              <c:f>Resumen!$G$57:$AA$57</c:f>
              <c:numCache>
                <c:ptCount val="21"/>
                <c:pt idx="0">
                  <c:v>52620.03333333336</c:v>
                </c:pt>
                <c:pt idx="1">
                  <c:v>41219.93833893923</c:v>
                </c:pt>
                <c:pt idx="2">
                  <c:v>32422.18647095227</c:v>
                </c:pt>
                <c:pt idx="3">
                  <c:v>25551.492618815817</c:v>
                </c:pt>
                <c:pt idx="4">
                  <c:v>20128.213895318946</c:v>
                </c:pt>
                <c:pt idx="5">
                  <c:v>15806.219818666676</c:v>
                </c:pt>
                <c:pt idx="6">
                  <c:v>12332.08141099707</c:v>
                </c:pt>
                <c:pt idx="7">
                  <c:v>9517.7619584544</c:v>
                </c:pt>
                <c:pt idx="8">
                  <c:v>7222.028866940374</c:v>
                </c:pt>
                <c:pt idx="9">
                  <c:v>5337.601694408578</c:v>
                </c:pt>
                <c:pt idx="10">
                  <c:v>3782.136625514409</c:v>
                </c:pt>
                <c:pt idx="11">
                  <c:v>2491.8167729342304</c:v>
                </c:pt>
                <c:pt idx="12">
                  <c:v>1416.737988789879</c:v>
                </c:pt>
                <c:pt idx="13">
                  <c:v>517.5484551796948</c:v>
                </c:pt>
                <c:pt idx="14">
                  <c:v>-237.02527555004374</c:v>
                </c:pt>
                <c:pt idx="15">
                  <c:v>-872.0181749667748</c:v>
                </c:pt>
                <c:pt idx="16">
                  <c:v>-1407.6081305356533</c:v>
                </c:pt>
                <c:pt idx="17">
                  <c:v>-1860.1623836282245</c:v>
                </c:pt>
                <c:pt idx="18">
                  <c:v>-2243.0369087288736</c:v>
                </c:pt>
                <c:pt idx="19">
                  <c:v>-2567.191908348221</c:v>
                </c:pt>
                <c:pt idx="20">
                  <c:v>-2841.6692708333303</c:v>
                </c:pt>
              </c:numCache>
            </c:numRef>
          </c:val>
          <c:smooth val="0"/>
        </c:ser>
        <c:marker val="1"/>
        <c:axId val="11556876"/>
        <c:axId val="36903021"/>
      </c:lineChart>
      <c:catAx>
        <c:axId val="11556876"/>
        <c:scaling>
          <c:orientation val="minMax"/>
        </c:scaling>
        <c:axPos val="b"/>
        <c:delete val="0"/>
        <c:numFmt formatCode="0%" sourceLinked="0"/>
        <c:majorTickMark val="out"/>
        <c:minorTickMark val="none"/>
        <c:tickLblPos val="nextTo"/>
        <c:spPr>
          <a:ln w="3175">
            <a:solidFill>
              <a:srgbClr val="808080"/>
            </a:solidFill>
          </a:ln>
        </c:spPr>
        <c:crossAx val="36903021"/>
        <c:crosses val="autoZero"/>
        <c:auto val="1"/>
        <c:lblOffset val="100"/>
        <c:tickLblSkip val="1"/>
        <c:noMultiLvlLbl val="0"/>
      </c:catAx>
      <c:valAx>
        <c:axId val="3690302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11556876"/>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75"/>
          <c:w val="1"/>
          <c:h val="0.91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Resumen!$G$42:$K$42</c:f>
              <c:numCache>
                <c:ptCount val="5"/>
                <c:pt idx="0">
                  <c:v>-17992.166666666664</c:v>
                </c:pt>
                <c:pt idx="1">
                  <c:v>9526.750000000004</c:v>
                </c:pt>
                <c:pt idx="2">
                  <c:v>13012.75</c:v>
                </c:pt>
                <c:pt idx="3">
                  <c:v>20603.550000000003</c:v>
                </c:pt>
                <c:pt idx="4">
                  <c:v>27469.15000000002</c:v>
                </c:pt>
              </c:numCache>
            </c:numRef>
          </c:val>
        </c:ser>
        <c:axId val="63691734"/>
        <c:axId val="36354695"/>
      </c:barChart>
      <c:catAx>
        <c:axId val="63691734"/>
        <c:scaling>
          <c:orientation val="minMax"/>
        </c:scaling>
        <c:axPos val="b"/>
        <c:delete val="0"/>
        <c:numFmt formatCode="General" sourceLinked="1"/>
        <c:majorTickMark val="out"/>
        <c:minorTickMark val="none"/>
        <c:tickLblPos val="nextTo"/>
        <c:spPr>
          <a:ln w="3175">
            <a:solidFill>
              <a:srgbClr val="808080"/>
            </a:solidFill>
          </a:ln>
        </c:spPr>
        <c:crossAx val="36354695"/>
        <c:crosses val="autoZero"/>
        <c:auto val="1"/>
        <c:lblOffset val="100"/>
        <c:tickLblSkip val="1"/>
        <c:noMultiLvlLbl val="0"/>
      </c:catAx>
      <c:valAx>
        <c:axId val="36354695"/>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63691734"/>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225"/>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Resumen!$M$42:$AJ$42</c:f>
              <c:numCache>
                <c:ptCount val="24"/>
                <c:pt idx="0">
                  <c:v>-24874.347222222223</c:v>
                </c:pt>
                <c:pt idx="1">
                  <c:v>625.6527777777778</c:v>
                </c:pt>
                <c:pt idx="2">
                  <c:v>625.6527777777778</c:v>
                </c:pt>
                <c:pt idx="3">
                  <c:v>625.6527777777778</c:v>
                </c:pt>
                <c:pt idx="4">
                  <c:v>625.6527777777778</c:v>
                </c:pt>
                <c:pt idx="5">
                  <c:v>625.6527777777778</c:v>
                </c:pt>
                <c:pt idx="6">
                  <c:v>625.6527777777778</c:v>
                </c:pt>
                <c:pt idx="7">
                  <c:v>625.6527777777778</c:v>
                </c:pt>
                <c:pt idx="8">
                  <c:v>625.6527777777778</c:v>
                </c:pt>
                <c:pt idx="9">
                  <c:v>625.6527777777778</c:v>
                </c:pt>
                <c:pt idx="10">
                  <c:v>625.6527777777778</c:v>
                </c:pt>
                <c:pt idx="11">
                  <c:v>625.6527777777778</c:v>
                </c:pt>
                <c:pt idx="12">
                  <c:v>-5622.770833333333</c:v>
                </c:pt>
                <c:pt idx="13">
                  <c:v>1377.2291666666667</c:v>
                </c:pt>
                <c:pt idx="14">
                  <c:v>1377.2291666666667</c:v>
                </c:pt>
                <c:pt idx="15">
                  <c:v>1377.2291666666667</c:v>
                </c:pt>
                <c:pt idx="16">
                  <c:v>1377.2291666666667</c:v>
                </c:pt>
                <c:pt idx="17">
                  <c:v>1377.2291666666667</c:v>
                </c:pt>
                <c:pt idx="18">
                  <c:v>1377.2291666666667</c:v>
                </c:pt>
                <c:pt idx="19">
                  <c:v>1377.2291666666667</c:v>
                </c:pt>
                <c:pt idx="20">
                  <c:v>1377.2291666666667</c:v>
                </c:pt>
                <c:pt idx="21">
                  <c:v>1377.2291666666667</c:v>
                </c:pt>
                <c:pt idx="22">
                  <c:v>1377.2291666666667</c:v>
                </c:pt>
                <c:pt idx="23">
                  <c:v>1377.2291666666667</c:v>
                </c:pt>
              </c:numCache>
            </c:numRef>
          </c:val>
          <c:smooth val="0"/>
        </c:ser>
        <c:marker val="1"/>
        <c:axId val="58756800"/>
        <c:axId val="59049153"/>
      </c:lineChart>
      <c:dateAx>
        <c:axId val="58756800"/>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59049153"/>
        <c:crosses val="autoZero"/>
        <c:auto val="0"/>
        <c:baseTimeUnit val="months"/>
        <c:majorUnit val="3"/>
        <c:majorTimeUnit val="months"/>
        <c:minorUnit val="3"/>
        <c:minorTimeUnit val="months"/>
        <c:noMultiLvlLbl val="0"/>
      </c:dateAx>
      <c:valAx>
        <c:axId val="59049153"/>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58756800"/>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75"/>
          <c:w val="1"/>
          <c:h val="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Resumen!$G$45:$K$45</c:f>
              <c:numCache>
                <c:ptCount val="5"/>
                <c:pt idx="0">
                  <c:v>10007.833333333336</c:v>
                </c:pt>
                <c:pt idx="1">
                  <c:v>11526.750000000004</c:v>
                </c:pt>
                <c:pt idx="2">
                  <c:v>8012.75</c:v>
                </c:pt>
                <c:pt idx="3">
                  <c:v>13603.550000000003</c:v>
                </c:pt>
                <c:pt idx="4">
                  <c:v>18469.15000000002</c:v>
                </c:pt>
              </c:numCache>
            </c:numRef>
          </c:val>
        </c:ser>
        <c:axId val="61680330"/>
        <c:axId val="18252059"/>
      </c:barChart>
      <c:catAx>
        <c:axId val="61680330"/>
        <c:scaling>
          <c:orientation val="minMax"/>
        </c:scaling>
        <c:axPos val="b"/>
        <c:delete val="0"/>
        <c:numFmt formatCode="General" sourceLinked="1"/>
        <c:majorTickMark val="out"/>
        <c:minorTickMark val="none"/>
        <c:tickLblPos val="nextTo"/>
        <c:spPr>
          <a:ln w="3175">
            <a:solidFill>
              <a:srgbClr val="808080"/>
            </a:solidFill>
          </a:ln>
        </c:spPr>
        <c:crossAx val="18252059"/>
        <c:crosses val="autoZero"/>
        <c:auto val="1"/>
        <c:lblOffset val="100"/>
        <c:tickLblSkip val="1"/>
        <c:noMultiLvlLbl val="0"/>
      </c:catAx>
      <c:valAx>
        <c:axId val="18252059"/>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61680330"/>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225"/>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Resumen!$M$45:$AJ$45</c:f>
              <c:numCache>
                <c:ptCount val="24"/>
                <c:pt idx="0">
                  <c:v>5125.652777777777</c:v>
                </c:pt>
                <c:pt idx="1">
                  <c:v>625.6527777777778</c:v>
                </c:pt>
                <c:pt idx="2">
                  <c:v>625.6527777777778</c:v>
                </c:pt>
                <c:pt idx="3">
                  <c:v>625.6527777777778</c:v>
                </c:pt>
                <c:pt idx="4">
                  <c:v>625.6527777777778</c:v>
                </c:pt>
                <c:pt idx="5">
                  <c:v>625.6527777777778</c:v>
                </c:pt>
                <c:pt idx="6">
                  <c:v>625.6527777777778</c:v>
                </c:pt>
                <c:pt idx="7">
                  <c:v>625.6527777777778</c:v>
                </c:pt>
                <c:pt idx="8">
                  <c:v>625.6527777777778</c:v>
                </c:pt>
                <c:pt idx="9">
                  <c:v>625.6527777777778</c:v>
                </c:pt>
                <c:pt idx="10">
                  <c:v>625.6527777777778</c:v>
                </c:pt>
                <c:pt idx="11">
                  <c:v>-1374.3472222222222</c:v>
                </c:pt>
                <c:pt idx="12">
                  <c:v>-622.770833333333</c:v>
                </c:pt>
                <c:pt idx="13">
                  <c:v>1377.2291666666667</c:v>
                </c:pt>
                <c:pt idx="14">
                  <c:v>1377.2291666666667</c:v>
                </c:pt>
                <c:pt idx="15">
                  <c:v>1377.2291666666667</c:v>
                </c:pt>
                <c:pt idx="16">
                  <c:v>1377.2291666666667</c:v>
                </c:pt>
                <c:pt idx="17">
                  <c:v>1377.2291666666667</c:v>
                </c:pt>
                <c:pt idx="18">
                  <c:v>1377.2291666666667</c:v>
                </c:pt>
                <c:pt idx="19">
                  <c:v>1377.2291666666667</c:v>
                </c:pt>
                <c:pt idx="20">
                  <c:v>1377.2291666666667</c:v>
                </c:pt>
                <c:pt idx="21">
                  <c:v>1377.2291666666667</c:v>
                </c:pt>
                <c:pt idx="22">
                  <c:v>1377.2291666666667</c:v>
                </c:pt>
                <c:pt idx="23">
                  <c:v>-1622.7708333333333</c:v>
                </c:pt>
              </c:numCache>
            </c:numRef>
          </c:val>
          <c:smooth val="0"/>
        </c:ser>
        <c:marker val="1"/>
        <c:axId val="30050804"/>
        <c:axId val="2021781"/>
      </c:lineChart>
      <c:dateAx>
        <c:axId val="30050804"/>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2021781"/>
        <c:crosses val="autoZero"/>
        <c:auto val="0"/>
        <c:baseTimeUnit val="months"/>
        <c:majorUnit val="3"/>
        <c:majorTimeUnit val="months"/>
        <c:minorUnit val="3"/>
        <c:minorTimeUnit val="months"/>
        <c:noMultiLvlLbl val="0"/>
      </c:dateAx>
      <c:valAx>
        <c:axId val="202178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30050804"/>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1"/>
          <c:h val="0.916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Resumen!$G$38:$K$38</c:f>
              <c:numCache>
                <c:ptCount val="5"/>
                <c:pt idx="0">
                  <c:v>2016</c:v>
                </c:pt>
                <c:pt idx="1">
                  <c:v>2017</c:v>
                </c:pt>
                <c:pt idx="2">
                  <c:v>2018</c:v>
                </c:pt>
                <c:pt idx="3">
                  <c:v>2019</c:v>
                </c:pt>
                <c:pt idx="4">
                  <c:v>2020</c:v>
                </c:pt>
              </c:numCache>
            </c:numRef>
          </c:cat>
          <c:val>
            <c:numRef>
              <c:f>Resumen!$G$43:$K$43</c:f>
              <c:numCache>
                <c:ptCount val="5"/>
                <c:pt idx="0">
                  <c:v>-17992.166666666664</c:v>
                </c:pt>
                <c:pt idx="1">
                  <c:v>-8465.41666666666</c:v>
                </c:pt>
                <c:pt idx="2">
                  <c:v>4547.333333333339</c:v>
                </c:pt>
                <c:pt idx="3">
                  <c:v>25150.883333333342</c:v>
                </c:pt>
                <c:pt idx="4">
                  <c:v>52620.03333333336</c:v>
                </c:pt>
              </c:numCache>
            </c:numRef>
          </c:val>
        </c:ser>
        <c:axId val="18196030"/>
        <c:axId val="29546543"/>
      </c:barChart>
      <c:catAx>
        <c:axId val="18196030"/>
        <c:scaling>
          <c:orientation val="minMax"/>
        </c:scaling>
        <c:axPos val="b"/>
        <c:delete val="0"/>
        <c:numFmt formatCode="General" sourceLinked="1"/>
        <c:majorTickMark val="out"/>
        <c:minorTickMark val="none"/>
        <c:tickLblPos val="nextTo"/>
        <c:spPr>
          <a:ln w="3175">
            <a:solidFill>
              <a:srgbClr val="808080"/>
            </a:solidFill>
          </a:ln>
        </c:spPr>
        <c:crossAx val="29546543"/>
        <c:crosses val="autoZero"/>
        <c:auto val="1"/>
        <c:lblOffset val="100"/>
        <c:tickLblSkip val="1"/>
        <c:noMultiLvlLbl val="0"/>
      </c:catAx>
      <c:valAx>
        <c:axId val="29546543"/>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18196030"/>
        <c:crossesAt val="1"/>
        <c:crossBetween val="between"/>
        <c:dispUnits/>
      </c:valAx>
      <c:spPr>
        <a:solidFill>
          <a:srgbClr val="FFFFFF"/>
        </a:solidFill>
        <a:ln w="3175">
          <a:noFill/>
        </a:ln>
      </c:spPr>
    </c:plotArea>
    <c:plotVisOnly val="0"/>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1"/>
        </c:manualLayout>
      </c:layout>
      <c:lineChart>
        <c:grouping val="standard"/>
        <c:varyColors val="0"/>
        <c:ser>
          <c:idx val="0"/>
          <c:order val="0"/>
          <c:spPr>
            <a:ln w="25400">
              <a:solidFill>
                <a:srgbClr val="66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CC"/>
              </a:solidFill>
              <a:ln>
                <a:solidFill>
                  <a:srgbClr val="6666CC"/>
                </a:solidFill>
              </a:ln>
            </c:spPr>
          </c:marker>
          <c:cat>
            <c:strRef>
              <c:f>Resumen!$M$38:$AJ$38</c:f>
              <c:strCach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strCache>
            </c:strRef>
          </c:cat>
          <c:val>
            <c:numRef>
              <c:f>Resumen!$M$43:$AJ$43</c:f>
              <c:numCache>
                <c:ptCount val="24"/>
                <c:pt idx="0">
                  <c:v>-24874.347222222223</c:v>
                </c:pt>
                <c:pt idx="1">
                  <c:v>-24248.694444444445</c:v>
                </c:pt>
                <c:pt idx="2">
                  <c:v>-23623.041666666668</c:v>
                </c:pt>
                <c:pt idx="3">
                  <c:v>-22997.38888888889</c:v>
                </c:pt>
                <c:pt idx="4">
                  <c:v>-22371.736111111113</c:v>
                </c:pt>
                <c:pt idx="5">
                  <c:v>-21746.083333333336</c:v>
                </c:pt>
                <c:pt idx="6">
                  <c:v>-21120.43055555556</c:v>
                </c:pt>
                <c:pt idx="7">
                  <c:v>-20494.77777777778</c:v>
                </c:pt>
                <c:pt idx="8">
                  <c:v>-19869.125000000004</c:v>
                </c:pt>
                <c:pt idx="9">
                  <c:v>-19243.472222222226</c:v>
                </c:pt>
                <c:pt idx="10">
                  <c:v>-18617.81944444445</c:v>
                </c:pt>
                <c:pt idx="11">
                  <c:v>-17992.16666666667</c:v>
                </c:pt>
                <c:pt idx="12">
                  <c:v>-23614.937500000004</c:v>
                </c:pt>
                <c:pt idx="13">
                  <c:v>-22237.708333333336</c:v>
                </c:pt>
                <c:pt idx="14">
                  <c:v>-20860.479166666668</c:v>
                </c:pt>
                <c:pt idx="15">
                  <c:v>-19483.25</c:v>
                </c:pt>
                <c:pt idx="16">
                  <c:v>-18106.020833333332</c:v>
                </c:pt>
                <c:pt idx="17">
                  <c:v>-16728.791666666664</c:v>
                </c:pt>
                <c:pt idx="18">
                  <c:v>-15351.562499999998</c:v>
                </c:pt>
                <c:pt idx="19">
                  <c:v>-13974.333333333332</c:v>
                </c:pt>
                <c:pt idx="20">
                  <c:v>-12597.104166666666</c:v>
                </c:pt>
                <c:pt idx="21">
                  <c:v>-11219.875</c:v>
                </c:pt>
                <c:pt idx="22">
                  <c:v>-9842.645833333334</c:v>
                </c:pt>
                <c:pt idx="23">
                  <c:v>-8465.416666666668</c:v>
                </c:pt>
              </c:numCache>
            </c:numRef>
          </c:val>
          <c:smooth val="0"/>
        </c:ser>
        <c:marker val="1"/>
        <c:axId val="64592296"/>
        <c:axId val="44459753"/>
      </c:lineChart>
      <c:dateAx>
        <c:axId val="64592296"/>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44459753"/>
        <c:crosses val="autoZero"/>
        <c:auto val="0"/>
        <c:baseTimeUnit val="months"/>
        <c:majorUnit val="3"/>
        <c:majorTimeUnit val="months"/>
        <c:minorUnit val="3"/>
        <c:minorTimeUnit val="months"/>
        <c:noMultiLvlLbl val="0"/>
      </c:dateAx>
      <c:valAx>
        <c:axId val="44459753"/>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crossAx val="64592296"/>
        <c:crossesAt val="1"/>
        <c:crossBetween val="between"/>
        <c:dispUnits/>
      </c:valAx>
      <c:spPr>
        <a:solidFill>
          <a:srgbClr val="FFFFFF"/>
        </a:solidFill>
        <a:ln w="3175">
          <a:noFill/>
        </a:ln>
      </c:spPr>
    </c:plotArea>
    <c:plotVisOnly val="0"/>
    <c:dispBlanksAs val="gap"/>
    <c:showDLblsOverMax val="0"/>
  </c:chart>
  <c:spPr>
    <a:noFill/>
    <a:ln>
      <a:noFill/>
    </a:ln>
  </c:spPr>
  <c:txPr>
    <a:bodyPr vert="horz" rot="0"/>
    <a:lstStyle/>
    <a:p>
      <a:pPr>
        <a:defRPr lang="en-US" cap="none" sz="1000" b="0" i="0" u="none" baseline="0">
          <a:solidFill>
            <a:srgbClr val="333333"/>
          </a:solidFill>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104775</xdr:rowOff>
    </xdr:from>
    <xdr:to>
      <xdr:col>0</xdr:col>
      <xdr:colOff>2819400</xdr:colOff>
      <xdr:row>37</xdr:row>
      <xdr:rowOff>123825</xdr:rowOff>
    </xdr:to>
    <xdr:sp>
      <xdr:nvSpPr>
        <xdr:cNvPr id="1" name="TextBox 3"/>
        <xdr:cNvSpPr txBox="1">
          <a:spLocks noChangeArrowheads="1"/>
        </xdr:cNvSpPr>
      </xdr:nvSpPr>
      <xdr:spPr>
        <a:xfrm>
          <a:off x="57150" y="1885950"/>
          <a:ext cx="2762250" cy="3781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El precio de venta puede</a:t>
          </a:r>
          <a:r>
            <a:rPr lang="en-US" cap="none" sz="1100" b="0" i="0" u="none" baseline="0">
              <a:solidFill>
                <a:srgbClr val="010000"/>
              </a:solidFill>
              <a:latin typeface="Calibri"/>
              <a:ea typeface="Calibri"/>
              <a:cs typeface="Calibri"/>
            </a:rPr>
            <a:t> ir variando de mes a mes, o de año a año, de acuerdo a un porcentaje de incremento que se puede calcular con el estudio de mercado, al analizar cuanto han crecido los precios de los productos o servicios de la competencia en los meses y años anteriores.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El número de unidades proyectadas para ser vendidas por mes y por año, también pueden sufrir aumentos según la evolución de los competidores, datos de la industria o bien, con estudios de mercado en el sector desarrollados por instituciones o cámaras de empresas, para proyectar su futuro a corto plazo.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133350</xdr:rowOff>
    </xdr:from>
    <xdr:to>
      <xdr:col>0</xdr:col>
      <xdr:colOff>2809875</xdr:colOff>
      <xdr:row>50</xdr:row>
      <xdr:rowOff>123825</xdr:rowOff>
    </xdr:to>
    <xdr:sp>
      <xdr:nvSpPr>
        <xdr:cNvPr id="1" name="TextBox 1"/>
        <xdr:cNvSpPr txBox="1">
          <a:spLocks noChangeArrowheads="1"/>
        </xdr:cNvSpPr>
      </xdr:nvSpPr>
      <xdr:spPr>
        <a:xfrm>
          <a:off x="47625" y="2505075"/>
          <a:ext cx="2762250" cy="436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Los</a:t>
          </a:r>
          <a:r>
            <a:rPr lang="en-US" cap="none" sz="1100" b="0" i="0" u="none" baseline="0">
              <a:solidFill>
                <a:srgbClr val="010000"/>
              </a:solidFill>
              <a:latin typeface="Calibri"/>
              <a:ea typeface="Calibri"/>
              <a:cs typeface="Calibri"/>
            </a:rPr>
            <a:t> costos unitarios de fabricación también pueden irse incrementando de acuerdo a una inflación anual proyectada para los siguientes años.  Se puede tomar como base el porcentaje de inflación de años anteriores según el Banco Central de cada país, o bien tomar como referencia estudios sobre el comportamiento de los costos de producción para determinadas industrias.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En el caso de emprendimientos que tengan costos de producción muy bajos, se recomienda inflar estos costos o bien, reducir el precio de venta para mostrar un escenario "pesimista", que aun con costos inflados o ingresos reducidos, muestra resultados positivos. Esto es mejor que mostrar proyecciones demasiado positivas aunque sean reales con los datos actuales del  proyecto, debido a que esto último hace cuestionar si realmente existe conciencia de costos (tener conocimiento de los costos REALES del proyecto)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20</xdr:row>
      <xdr:rowOff>0</xdr:rowOff>
    </xdr:from>
    <xdr:to>
      <xdr:col>0</xdr:col>
      <xdr:colOff>2819400</xdr:colOff>
      <xdr:row>34</xdr:row>
      <xdr:rowOff>85725</xdr:rowOff>
    </xdr:to>
    <xdr:sp>
      <xdr:nvSpPr>
        <xdr:cNvPr id="1" name="TextBox 1"/>
        <xdr:cNvSpPr txBox="1">
          <a:spLocks noChangeArrowheads="1"/>
        </xdr:cNvSpPr>
      </xdr:nvSpPr>
      <xdr:spPr>
        <a:xfrm>
          <a:off x="57150" y="2486025"/>
          <a:ext cx="2762250" cy="2381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a:t>
          </a:r>
          <a:r>
            <a:rPr lang="en-US" cap="none" sz="1100" b="0" i="0" u="none" baseline="0">
              <a:solidFill>
                <a:srgbClr val="010000"/>
              </a:solidFill>
              <a:latin typeface="Calibri"/>
              <a:ea typeface="Calibri"/>
              <a:cs typeface="Calibri"/>
            </a:rPr>
            <a:t>Así como con los costos de producción, los gastos pueden presentar  un incremento anual basado en la inflación.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En el caso de agregar más gastos, verificar que las formulas sigan siendo calculadas correctamente. Si no se tiene certeza de que las fórmulas estén correctas al agregar filas en la hoja de excel, se puede colocar directamente el total de gastos, sin su desglose.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190500</xdr:rowOff>
    </xdr:from>
    <xdr:to>
      <xdr:col>0</xdr:col>
      <xdr:colOff>2809875</xdr:colOff>
      <xdr:row>72</xdr:row>
      <xdr:rowOff>161925</xdr:rowOff>
    </xdr:to>
    <xdr:sp>
      <xdr:nvSpPr>
        <xdr:cNvPr id="1" name="TextBox 1"/>
        <xdr:cNvSpPr txBox="1">
          <a:spLocks noChangeArrowheads="1"/>
        </xdr:cNvSpPr>
      </xdr:nvSpPr>
      <xdr:spPr>
        <a:xfrm>
          <a:off x="47625" y="5915025"/>
          <a:ext cx="2762250" cy="6343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a:t>
          </a:r>
          <a:r>
            <a:rPr lang="en-US" cap="none" sz="1100" b="0" i="0" u="none" baseline="0">
              <a:solidFill>
                <a:srgbClr val="010000"/>
              </a:solidFill>
              <a:latin typeface="Calibri"/>
              <a:ea typeface="Calibri"/>
              <a:cs typeface="Calibri"/>
            </a:rPr>
            <a:t>Se pueden agregar más empleados y áreas administrativas o de ventas, utilizar el desglose que está de ejemplo o bien, colocar directamente el Total de Gastos de Personal sin el desglose.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Es importante tomar en consideración los salarios mínimos publicados por el Ministerio de Trabajo de cada país y proyectar aumentos anuales que pueden ir desde el 3% hasta el 6% </a:t>
          </a:r>
          <a:r>
            <a:rPr lang="en-US" cap="none" sz="1100" b="1" i="0" u="none" baseline="0">
              <a:solidFill>
                <a:srgbClr val="010000"/>
              </a:solidFill>
              <a:latin typeface="Calibri"/>
              <a:ea typeface="Calibri"/>
              <a:cs typeface="Calibri"/>
            </a:rPr>
            <a:t>como recomendación. </a:t>
          </a:r>
          <a:r>
            <a:rPr lang="en-US" cap="none" sz="1100" b="0" i="0" u="none" baseline="0">
              <a:solidFill>
                <a:srgbClr val="010000"/>
              </a:solidFill>
              <a:latin typeface="Calibri"/>
              <a:ea typeface="Calibri"/>
              <a:cs typeface="Calibri"/>
            </a:rPr>
            <a:t>Igualmente pueden ser usados otros porcentajes de aumento según el criterio del emprendedor.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3. La remuneración total puede ser por una jornada ordinaria (48 horas a la semana) o bien, por un salario de medio tiempo.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4. Para el personal que trabajará  en calidad de empleado, la remuneración total debería incluir el importe que se generará por concepto de Cargas Patronales, así como el de las Garantías Sociales (vacaciones, aguinaldo y cesantía en el caso de Costa Rica); sin necesidad de desglosarlo.  Los porcentajes de estos rubros pueden consultarse en los ministerios que regulan  la seguridad social en cada país.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5. También se puede agregar personal que laborará por servicios profesionales de forma recurrente, como el contador, publicistas o servicios legales.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34</xdr:row>
      <xdr:rowOff>28575</xdr:rowOff>
    </xdr:from>
    <xdr:to>
      <xdr:col>0</xdr:col>
      <xdr:colOff>2809875</xdr:colOff>
      <xdr:row>80</xdr:row>
      <xdr:rowOff>133350</xdr:rowOff>
    </xdr:to>
    <xdr:sp>
      <xdr:nvSpPr>
        <xdr:cNvPr id="1" name="TextBox 1"/>
        <xdr:cNvSpPr txBox="1">
          <a:spLocks noChangeArrowheads="1"/>
        </xdr:cNvSpPr>
      </xdr:nvSpPr>
      <xdr:spPr>
        <a:xfrm>
          <a:off x="47625" y="4991100"/>
          <a:ext cx="2762250" cy="777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Se puede</a:t>
          </a:r>
          <a:r>
            <a:rPr lang="en-US" cap="none" sz="1100" b="0" i="0" u="none" baseline="0">
              <a:solidFill>
                <a:srgbClr val="010000"/>
              </a:solidFill>
              <a:latin typeface="Calibri"/>
              <a:ea typeface="Calibri"/>
              <a:cs typeface="Calibri"/>
            </a:rPr>
            <a:t> modificar el nombre de los activos  que se planean adquirir para el crecimiento del proyecto, no solamente al inicio, sino  también a lo largo de 5 años.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a:t>
          </a:r>
          <a:r>
            <a:rPr lang="en-US" cap="none" sz="1100" b="1" i="0" u="none" baseline="0">
              <a:solidFill>
                <a:srgbClr val="010000"/>
              </a:solidFill>
              <a:latin typeface="Calibri"/>
              <a:ea typeface="Calibri"/>
              <a:cs typeface="Calibri"/>
            </a:rPr>
            <a:t>Si se desean agregan más activos: </a:t>
          </a:r>
          <a:r>
            <a:rPr lang="en-US" cap="none" sz="1100" b="0" i="0" u="none" baseline="0">
              <a:solidFill>
                <a:srgbClr val="010000"/>
              </a:solidFill>
              <a:latin typeface="Calibri"/>
              <a:ea typeface="Calibri"/>
              <a:cs typeface="Calibri"/>
            </a:rPr>
            <a:t>debido a  la complejidad de las fórmulas para el cálculo de la amortización o depreciación por cada activo, se recomienda </a:t>
          </a:r>
          <a:r>
            <a:rPr lang="en-US" cap="none" sz="1100" b="1" i="0" u="none" baseline="0">
              <a:solidFill>
                <a:srgbClr val="010000"/>
              </a:solidFill>
              <a:latin typeface="Calibri"/>
              <a:ea typeface="Calibri"/>
              <a:cs typeface="Calibri"/>
            </a:rPr>
            <a:t>NO agregar más filas </a:t>
          </a:r>
          <a:r>
            <a:rPr lang="en-US" cap="none" sz="1100" b="0" i="0" u="none" baseline="0">
              <a:solidFill>
                <a:srgbClr val="010000"/>
              </a:solidFill>
              <a:latin typeface="Calibri"/>
              <a:ea typeface="Calibri"/>
              <a:cs typeface="Calibri"/>
            </a:rPr>
            <a:t>a esta hoja de excel.  Si se proyecta adquirir 4 activos o menos, usar las filas que ya están como ejemplo y modificar el nombre y monto. Si se planea usar menos de 4 activos, dejar en blanco o en cero las líneas que no serán usadas.
</a:t>
          </a:r>
          <a:r>
            <a:rPr lang="en-US" cap="none" sz="1100" b="0" i="0" u="none" baseline="0">
              <a:solidFill>
                <a:srgbClr val="010000"/>
              </a:solidFill>
              <a:latin typeface="Calibri"/>
              <a:ea typeface="Calibri"/>
              <a:cs typeface="Calibri"/>
            </a:rPr>
            <a:t>En caso de proyectar la adquisión de más de 4 activos, entonces agruparlos en categorías y usar una linea por categoría. Por ejemplo, si se planea invertir en  dos vehículos, un camión y tres motocicletas, en lugar de colocar cada activo, usar una única línea con el nombre "EQUIPO DE TRANSPORTE" que agrupe todos estos activos. Así no habría que agregar más filas a esta hoja.
</a:t>
          </a:r>
          <a:r>
            <a:rPr lang="en-US" cap="none" sz="1100" b="1"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3. Para el cálculo de las amortizaciones:  debajo de las proyecciones de los últimos tres años, hay un cuadro donde están los años de vida útil y porcentaje de valor residual de cada activo del ejemplo. Si se desea modificar, se pueden usar como referencia los datos de la dirección tributaria de cada país con respecto a la depreciación de activos.  
</a:t>
          </a:r>
          <a:r>
            <a:rPr lang="en-US" cap="none" sz="1100" b="0" i="0" u="none" baseline="0">
              <a:solidFill>
                <a:srgbClr val="010000"/>
              </a:solidFill>
              <a:latin typeface="Calibri"/>
              <a:ea typeface="Calibri"/>
              <a:cs typeface="Calibri"/>
            </a:rPr>
            <a:t>En caso de aplicar los mismos años de vida útil y el mismo porcentaje de valor residual, para un grupo de activos, entonces  se deben colocar valores </a:t>
          </a:r>
          <a:r>
            <a:rPr lang="en-US" cap="none" sz="1100" b="1" i="0" u="none" baseline="0">
              <a:solidFill>
                <a:srgbClr val="010000"/>
              </a:solidFill>
              <a:latin typeface="Calibri"/>
              <a:ea typeface="Calibri"/>
              <a:cs typeface="Calibri"/>
            </a:rPr>
            <a:t>promediados</a:t>
          </a:r>
          <a:r>
            <a:rPr lang="en-US" cap="none" sz="1100" b="0" i="0" u="none" baseline="0">
              <a:solidFill>
                <a:srgbClr val="010000"/>
              </a:solidFill>
              <a:latin typeface="Calibri"/>
              <a:ea typeface="Calibri"/>
              <a:cs typeface="Calibri"/>
            </a:rPr>
            <a:t> en este cuadro de años de vida útil y valores residuales. Por ejemplo: para EQUIPO DE TRANSPORTE, colocar el promedio de años de vida útil y valor residual de cada activo que compone esta  categoría de activos.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161925</xdr:rowOff>
    </xdr:from>
    <xdr:to>
      <xdr:col>0</xdr:col>
      <xdr:colOff>2762250</xdr:colOff>
      <xdr:row>43</xdr:row>
      <xdr:rowOff>142875</xdr:rowOff>
    </xdr:to>
    <xdr:sp>
      <xdr:nvSpPr>
        <xdr:cNvPr id="1" name="TextBox 1"/>
        <xdr:cNvSpPr txBox="1">
          <a:spLocks noChangeArrowheads="1"/>
        </xdr:cNvSpPr>
      </xdr:nvSpPr>
      <xdr:spPr>
        <a:xfrm>
          <a:off x="0" y="2581275"/>
          <a:ext cx="2762250" cy="3467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a:t>
          </a:r>
          <a:r>
            <a:rPr lang="en-US" cap="none" sz="1100" b="0" i="0" u="none" baseline="0">
              <a:solidFill>
                <a:srgbClr val="010000"/>
              </a:solidFill>
              <a:latin typeface="Calibri"/>
              <a:ea typeface="Calibri"/>
              <a:cs typeface="Calibri"/>
            </a:rPr>
            <a:t>La tasa del impuesto sobre la renta está basada según el Cuadro de Tramos para este Impuesto ubicado en la parte inferior derecha de esta hoja de excel.
</a:t>
          </a:r>
          <a:r>
            <a:rPr lang="en-US" cap="none" sz="1100" b="0" i="0" u="none" baseline="0">
              <a:solidFill>
                <a:srgbClr val="010000"/>
              </a:solidFill>
              <a:latin typeface="Calibri"/>
              <a:ea typeface="Calibri"/>
              <a:cs typeface="Calibri"/>
            </a:rPr>
            <a:t>Los datos fueron tomados del Ministerio de Hacienda de Costa Rica.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Si se desea adaptar a las tasas aplicadas en otros países a parte de Costa Rica, se pueden modificar los datos marcados en azul, siempre y cuando la fórmula no se afecte. 
Si esto sucede, colocar el Total del Impuestos directamente sin el desglose, según el marco fiscal de cada país.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3. En las proyecciones </a:t>
          </a:r>
          <a:r>
            <a:rPr lang="en-US" cap="none" sz="1100" b="1" i="0" u="none" baseline="0">
              <a:solidFill>
                <a:srgbClr val="010000"/>
              </a:solidFill>
              <a:latin typeface="Calibri"/>
              <a:ea typeface="Calibri"/>
              <a:cs typeface="Calibri"/>
            </a:rPr>
            <a:t>NO</a:t>
          </a:r>
          <a:r>
            <a:rPr lang="en-US" cap="none" sz="1100" b="0" i="0" u="none" baseline="0">
              <a:solidFill>
                <a:srgbClr val="010000"/>
              </a:solidFill>
              <a:latin typeface="Calibri"/>
              <a:ea typeface="Calibri"/>
              <a:cs typeface="Calibri"/>
            </a:rPr>
            <a:t> se contempla el IVA ni el Impuesto sobre las Ventas.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190500</xdr:rowOff>
    </xdr:from>
    <xdr:to>
      <xdr:col>0</xdr:col>
      <xdr:colOff>2809875</xdr:colOff>
      <xdr:row>75</xdr:row>
      <xdr:rowOff>104775</xdr:rowOff>
    </xdr:to>
    <xdr:sp>
      <xdr:nvSpPr>
        <xdr:cNvPr id="1" name="TextBox 1"/>
        <xdr:cNvSpPr txBox="1">
          <a:spLocks noChangeArrowheads="1"/>
        </xdr:cNvSpPr>
      </xdr:nvSpPr>
      <xdr:spPr>
        <a:xfrm>
          <a:off x="47625" y="5867400"/>
          <a:ext cx="2762250" cy="7258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Para realizar proyecciones financieras, el modelo más práctico</a:t>
          </a:r>
          <a:r>
            <a:rPr lang="en-US" cap="none" sz="1100" b="0" i="0" u="none" baseline="0">
              <a:solidFill>
                <a:srgbClr val="010000"/>
              </a:solidFill>
              <a:latin typeface="Calibri"/>
              <a:ea typeface="Calibri"/>
              <a:cs typeface="Calibri"/>
            </a:rPr>
            <a:t> es el de suponer una inversión de capital en acciones por parte de un socio externo, debido a que la proyección de un préstamo bancario, conlleva una mayor dificultad,  ya que se debe contar con una tabla de amortización de este préstamo para poder rellenar las celdas correspondientes.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En el ejemplo, se contempla únicamente la inversión de un socio externo, así como el pago de dividendos que irán aumentando año con año.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3. En cada emprendimiento, puede haber financiamiento únicamente por aporte de socios, por parte de un préstamo o deudas similares, o bien, de una combinación de ambos.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4. Se recomienda colocar un monto del financiamiento mayor al monto de la Inversión en Activos del primer año. Esto debido a que el Financiamiento no será usado solamente para la compra de Activos, sino también para cubrir costos operativos durante los primeros meses como Capital de Trabajo. Entonces por ejemplo, si se proyecta invertir $55,000 en Activos, se puede proyectar una Inversión de Socios de $78,000. O bien, una Inversión de Socios de $30,000 y un Préstamo de $48,000.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5.  Es importante recordar que tanto el Préstamo, como la Inversión de Socios acarrean </a:t>
          </a:r>
          <a:r>
            <a:rPr lang="en-US" cap="none" sz="1100" b="1" i="0" u="none" baseline="0">
              <a:solidFill>
                <a:srgbClr val="010000"/>
              </a:solidFill>
              <a:latin typeface="Calibri"/>
              <a:ea typeface="Calibri"/>
              <a:cs typeface="Calibri"/>
            </a:rPr>
            <a:t>gastos financieros</a:t>
          </a:r>
          <a:r>
            <a:rPr lang="en-US" cap="none" sz="1100" b="0" i="0" u="none" baseline="0">
              <a:solidFill>
                <a:srgbClr val="010000"/>
              </a:solidFill>
              <a:latin typeface="Calibri"/>
              <a:ea typeface="Calibri"/>
              <a:cs typeface="Calibri"/>
            </a:rPr>
            <a:t>. En el caso del Préstamo son los intereses y en el caso de la Inversión de Socios, sería el Pago de Dividendos o Retiros de los Dueños.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2762250</xdr:colOff>
      <xdr:row>79</xdr:row>
      <xdr:rowOff>28575</xdr:rowOff>
    </xdr:to>
    <xdr:sp>
      <xdr:nvSpPr>
        <xdr:cNvPr id="1" name="TextBox 1"/>
        <xdr:cNvSpPr txBox="1">
          <a:spLocks noChangeArrowheads="1"/>
        </xdr:cNvSpPr>
      </xdr:nvSpPr>
      <xdr:spPr>
        <a:xfrm>
          <a:off x="0" y="5772150"/>
          <a:ext cx="2762250" cy="2381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latin typeface="Calibri"/>
              <a:ea typeface="Calibri"/>
              <a:cs typeface="Calibri"/>
            </a:rPr>
            <a:t>Otras anotaciones y consejos: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1.  </a:t>
          </a:r>
          <a:r>
            <a:rPr lang="en-US" cap="none" sz="1100" b="0" i="0" u="none" baseline="0">
              <a:solidFill>
                <a:srgbClr val="010000"/>
              </a:solidFill>
              <a:latin typeface="Calibri"/>
              <a:ea typeface="Calibri"/>
              <a:cs typeface="Calibri"/>
            </a:rPr>
            <a:t>Recordar que esta hoja de excel, no debe ser rellenada en caso de que el proyecto no cuente con Activos, Pasivos y Patrimonio. Es decir, que no haya arrancado operaciones y un proceso contable para su registro.
</a:t>
          </a:r>
          <a:r>
            <a:rPr lang="en-US" cap="none" sz="1100" b="0" i="0" u="none" baseline="0">
              <a:solidFill>
                <a:srgbClr val="010000"/>
              </a:solidFill>
              <a:latin typeface="Calibri"/>
              <a:ea typeface="Calibri"/>
              <a:cs typeface="Calibri"/>
            </a:rPr>
            <a:t>
</a:t>
          </a:r>
          <a:r>
            <a:rPr lang="en-US" cap="none" sz="1100" b="0" i="0" u="none" baseline="0">
              <a:solidFill>
                <a:srgbClr val="010000"/>
              </a:solidFill>
              <a:latin typeface="Calibri"/>
              <a:ea typeface="Calibri"/>
              <a:cs typeface="Calibri"/>
            </a:rPr>
            <a:t>2. Si el proyecto ya inició operaciones, pero no lleva un proceso contable para reflejar estos datos, entonces dejar </a:t>
          </a:r>
          <a:r>
            <a:rPr lang="en-US" cap="none" sz="1100" b="1" i="0" u="none" baseline="0">
              <a:solidFill>
                <a:srgbClr val="010000"/>
              </a:solidFill>
              <a:latin typeface="Calibri"/>
              <a:ea typeface="Calibri"/>
              <a:cs typeface="Calibri"/>
            </a:rPr>
            <a:t>TODOS</a:t>
          </a:r>
          <a:r>
            <a:rPr lang="en-US" cap="none" sz="1100" b="0" i="0" u="none" baseline="0">
              <a:solidFill>
                <a:srgbClr val="010000"/>
              </a:solidFill>
              <a:latin typeface="Calibri"/>
              <a:ea typeface="Calibri"/>
              <a:cs typeface="Calibri"/>
            </a:rPr>
            <a:t>  los montos en </a:t>
          </a:r>
          <a:r>
            <a:rPr lang="en-US" cap="none" sz="1100" b="1" i="0" u="none" baseline="0">
              <a:solidFill>
                <a:srgbClr val="010000"/>
              </a:solidFill>
              <a:latin typeface="Calibri"/>
              <a:ea typeface="Calibri"/>
              <a:cs typeface="Calibri"/>
            </a:rPr>
            <a:t>AZUL</a:t>
          </a:r>
          <a:r>
            <a:rPr lang="en-US" cap="none" sz="1100" b="0" i="0" u="none" baseline="0">
              <a:solidFill>
                <a:srgbClr val="010000"/>
              </a:solidFill>
              <a:latin typeface="Calibri"/>
              <a:ea typeface="Calibri"/>
              <a:cs typeface="Calibri"/>
            </a:rPr>
            <a:t> en cero.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114300</xdr:rowOff>
    </xdr:from>
    <xdr:to>
      <xdr:col>1</xdr:col>
      <xdr:colOff>3629025</xdr:colOff>
      <xdr:row>38</xdr:row>
      <xdr:rowOff>95250</xdr:rowOff>
    </xdr:to>
    <xdr:graphicFrame>
      <xdr:nvGraphicFramePr>
        <xdr:cNvPr id="1" name="Chart 1"/>
        <xdr:cNvGraphicFramePr/>
      </xdr:nvGraphicFramePr>
      <xdr:xfrm>
        <a:off x="400050" y="4333875"/>
        <a:ext cx="3552825" cy="2333625"/>
      </xdr:xfrm>
      <a:graphic>
        <a:graphicData uri="http://schemas.openxmlformats.org/drawingml/2006/chart">
          <c:chart xmlns:c="http://schemas.openxmlformats.org/drawingml/2006/chart" r:id="rId1"/>
        </a:graphicData>
      </a:graphic>
    </xdr:graphicFrame>
    <xdr:clientData/>
  </xdr:twoCellAnchor>
  <xdr:twoCellAnchor>
    <xdr:from>
      <xdr:col>3</xdr:col>
      <xdr:colOff>85725</xdr:colOff>
      <xdr:row>25</xdr:row>
      <xdr:rowOff>114300</xdr:rowOff>
    </xdr:from>
    <xdr:to>
      <xdr:col>3</xdr:col>
      <xdr:colOff>3609975</xdr:colOff>
      <xdr:row>38</xdr:row>
      <xdr:rowOff>133350</xdr:rowOff>
    </xdr:to>
    <xdr:graphicFrame>
      <xdr:nvGraphicFramePr>
        <xdr:cNvPr id="2" name="Chart 2"/>
        <xdr:cNvGraphicFramePr/>
      </xdr:nvGraphicFramePr>
      <xdr:xfrm>
        <a:off x="4857750" y="4333875"/>
        <a:ext cx="3524250" cy="2371725"/>
      </xdr:xfrm>
      <a:graphic>
        <a:graphicData uri="http://schemas.openxmlformats.org/drawingml/2006/chart">
          <c:chart xmlns:c="http://schemas.openxmlformats.org/drawingml/2006/chart" r:id="rId2"/>
        </a:graphicData>
      </a:graphic>
    </xdr:graphicFrame>
    <xdr:clientData/>
  </xdr:twoCellAnchor>
  <xdr:twoCellAnchor>
    <xdr:from>
      <xdr:col>1</xdr:col>
      <xdr:colOff>76200</xdr:colOff>
      <xdr:row>3</xdr:row>
      <xdr:rowOff>0</xdr:rowOff>
    </xdr:from>
    <xdr:to>
      <xdr:col>4</xdr:col>
      <xdr:colOff>0</xdr:colOff>
      <xdr:row>20</xdr:row>
      <xdr:rowOff>133350</xdr:rowOff>
    </xdr:to>
    <xdr:graphicFrame>
      <xdr:nvGraphicFramePr>
        <xdr:cNvPr id="3" name="Chart 1"/>
        <xdr:cNvGraphicFramePr/>
      </xdr:nvGraphicFramePr>
      <xdr:xfrm>
        <a:off x="400050" y="533400"/>
        <a:ext cx="8420100" cy="2886075"/>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43</xdr:row>
      <xdr:rowOff>114300</xdr:rowOff>
    </xdr:from>
    <xdr:to>
      <xdr:col>1</xdr:col>
      <xdr:colOff>3629025</xdr:colOff>
      <xdr:row>56</xdr:row>
      <xdr:rowOff>152400</xdr:rowOff>
    </xdr:to>
    <xdr:graphicFrame>
      <xdr:nvGraphicFramePr>
        <xdr:cNvPr id="4" name="Chart 1"/>
        <xdr:cNvGraphicFramePr/>
      </xdr:nvGraphicFramePr>
      <xdr:xfrm>
        <a:off x="381000" y="7696200"/>
        <a:ext cx="3571875" cy="2514600"/>
      </xdr:xfrm>
      <a:graphic>
        <a:graphicData uri="http://schemas.openxmlformats.org/drawingml/2006/chart">
          <c:chart xmlns:c="http://schemas.openxmlformats.org/drawingml/2006/chart" r:id="rId4"/>
        </a:graphicData>
      </a:graphic>
    </xdr:graphicFrame>
    <xdr:clientData/>
  </xdr:twoCellAnchor>
  <xdr:twoCellAnchor>
    <xdr:from>
      <xdr:col>3</xdr:col>
      <xdr:colOff>47625</xdr:colOff>
      <xdr:row>43</xdr:row>
      <xdr:rowOff>104775</xdr:rowOff>
    </xdr:from>
    <xdr:to>
      <xdr:col>3</xdr:col>
      <xdr:colOff>3657600</xdr:colOff>
      <xdr:row>56</xdr:row>
      <xdr:rowOff>142875</xdr:rowOff>
    </xdr:to>
    <xdr:graphicFrame>
      <xdr:nvGraphicFramePr>
        <xdr:cNvPr id="5" name="Chart 2"/>
        <xdr:cNvGraphicFramePr/>
      </xdr:nvGraphicFramePr>
      <xdr:xfrm>
        <a:off x="4819650" y="7686675"/>
        <a:ext cx="3609975" cy="2514600"/>
      </xdr:xfrm>
      <a:graphic>
        <a:graphicData uri="http://schemas.openxmlformats.org/drawingml/2006/chart">
          <c:chart xmlns:c="http://schemas.openxmlformats.org/drawingml/2006/chart" r:id="rId5"/>
        </a:graphicData>
      </a:graphic>
    </xdr:graphicFrame>
    <xdr:clientData/>
  </xdr:twoCellAnchor>
  <xdr:twoCellAnchor>
    <xdr:from>
      <xdr:col>1</xdr:col>
      <xdr:colOff>47625</xdr:colOff>
      <xdr:row>100</xdr:row>
      <xdr:rowOff>85725</xdr:rowOff>
    </xdr:from>
    <xdr:to>
      <xdr:col>1</xdr:col>
      <xdr:colOff>3609975</xdr:colOff>
      <xdr:row>113</xdr:row>
      <xdr:rowOff>123825</xdr:rowOff>
    </xdr:to>
    <xdr:graphicFrame>
      <xdr:nvGraphicFramePr>
        <xdr:cNvPr id="6" name="Chart 1"/>
        <xdr:cNvGraphicFramePr/>
      </xdr:nvGraphicFramePr>
      <xdr:xfrm>
        <a:off x="371475" y="19745325"/>
        <a:ext cx="3562350" cy="2514600"/>
      </xdr:xfrm>
      <a:graphic>
        <a:graphicData uri="http://schemas.openxmlformats.org/drawingml/2006/chart">
          <c:chart xmlns:c="http://schemas.openxmlformats.org/drawingml/2006/chart" r:id="rId6"/>
        </a:graphicData>
      </a:graphic>
    </xdr:graphicFrame>
    <xdr:clientData/>
  </xdr:twoCellAnchor>
  <xdr:twoCellAnchor>
    <xdr:from>
      <xdr:col>3</xdr:col>
      <xdr:colOff>28575</xdr:colOff>
      <xdr:row>100</xdr:row>
      <xdr:rowOff>114300</xdr:rowOff>
    </xdr:from>
    <xdr:to>
      <xdr:col>3</xdr:col>
      <xdr:colOff>3629025</xdr:colOff>
      <xdr:row>113</xdr:row>
      <xdr:rowOff>152400</xdr:rowOff>
    </xdr:to>
    <xdr:graphicFrame>
      <xdr:nvGraphicFramePr>
        <xdr:cNvPr id="7" name="Chart 2"/>
        <xdr:cNvGraphicFramePr/>
      </xdr:nvGraphicFramePr>
      <xdr:xfrm>
        <a:off x="4800600" y="19773900"/>
        <a:ext cx="3600450" cy="2514600"/>
      </xdr:xfrm>
      <a:graphic>
        <a:graphicData uri="http://schemas.openxmlformats.org/drawingml/2006/chart">
          <c:chart xmlns:c="http://schemas.openxmlformats.org/drawingml/2006/chart" r:id="rId7"/>
        </a:graphicData>
      </a:graphic>
    </xdr:graphicFrame>
    <xdr:clientData/>
  </xdr:twoCellAnchor>
  <xdr:twoCellAnchor>
    <xdr:from>
      <xdr:col>1</xdr:col>
      <xdr:colOff>47625</xdr:colOff>
      <xdr:row>62</xdr:row>
      <xdr:rowOff>123825</xdr:rowOff>
    </xdr:from>
    <xdr:to>
      <xdr:col>1</xdr:col>
      <xdr:colOff>3609975</xdr:colOff>
      <xdr:row>76</xdr:row>
      <xdr:rowOff>0</xdr:rowOff>
    </xdr:to>
    <xdr:graphicFrame>
      <xdr:nvGraphicFramePr>
        <xdr:cNvPr id="8" name="Chart 1"/>
        <xdr:cNvGraphicFramePr/>
      </xdr:nvGraphicFramePr>
      <xdr:xfrm>
        <a:off x="371475" y="11715750"/>
        <a:ext cx="3562350" cy="2543175"/>
      </xdr:xfrm>
      <a:graphic>
        <a:graphicData uri="http://schemas.openxmlformats.org/drawingml/2006/chart">
          <c:chart xmlns:c="http://schemas.openxmlformats.org/drawingml/2006/chart" r:id="rId8"/>
        </a:graphicData>
      </a:graphic>
    </xdr:graphicFrame>
    <xdr:clientData/>
  </xdr:twoCellAnchor>
  <xdr:twoCellAnchor>
    <xdr:from>
      <xdr:col>3</xdr:col>
      <xdr:colOff>47625</xdr:colOff>
      <xdr:row>62</xdr:row>
      <xdr:rowOff>76200</xdr:rowOff>
    </xdr:from>
    <xdr:to>
      <xdr:col>3</xdr:col>
      <xdr:colOff>3657600</xdr:colOff>
      <xdr:row>75</xdr:row>
      <xdr:rowOff>152400</xdr:rowOff>
    </xdr:to>
    <xdr:graphicFrame>
      <xdr:nvGraphicFramePr>
        <xdr:cNvPr id="9" name="Chart 2"/>
        <xdr:cNvGraphicFramePr/>
      </xdr:nvGraphicFramePr>
      <xdr:xfrm>
        <a:off x="4819650" y="11668125"/>
        <a:ext cx="3609975" cy="2552700"/>
      </xdr:xfrm>
      <a:graphic>
        <a:graphicData uri="http://schemas.openxmlformats.org/drawingml/2006/chart">
          <c:chart xmlns:c="http://schemas.openxmlformats.org/drawingml/2006/chart" r:id="rId9"/>
        </a:graphicData>
      </a:graphic>
    </xdr:graphicFrame>
    <xdr:clientData/>
  </xdr:twoCellAnchor>
  <xdr:twoCellAnchor>
    <xdr:from>
      <xdr:col>1</xdr:col>
      <xdr:colOff>47625</xdr:colOff>
      <xdr:row>141</xdr:row>
      <xdr:rowOff>104775</xdr:rowOff>
    </xdr:from>
    <xdr:to>
      <xdr:col>1</xdr:col>
      <xdr:colOff>3609975</xdr:colOff>
      <xdr:row>154</xdr:row>
      <xdr:rowOff>142875</xdr:rowOff>
    </xdr:to>
    <xdr:graphicFrame>
      <xdr:nvGraphicFramePr>
        <xdr:cNvPr id="10" name="Chart 1"/>
        <xdr:cNvGraphicFramePr/>
      </xdr:nvGraphicFramePr>
      <xdr:xfrm>
        <a:off x="371475" y="27746325"/>
        <a:ext cx="3562350" cy="2514600"/>
      </xdr:xfrm>
      <a:graphic>
        <a:graphicData uri="http://schemas.openxmlformats.org/drawingml/2006/chart">
          <c:chart xmlns:c="http://schemas.openxmlformats.org/drawingml/2006/chart" r:id="rId10"/>
        </a:graphicData>
      </a:graphic>
    </xdr:graphicFrame>
    <xdr:clientData/>
  </xdr:twoCellAnchor>
  <xdr:twoCellAnchor>
    <xdr:from>
      <xdr:col>3</xdr:col>
      <xdr:colOff>47625</xdr:colOff>
      <xdr:row>141</xdr:row>
      <xdr:rowOff>104775</xdr:rowOff>
    </xdr:from>
    <xdr:to>
      <xdr:col>3</xdr:col>
      <xdr:colOff>3657600</xdr:colOff>
      <xdr:row>154</xdr:row>
      <xdr:rowOff>142875</xdr:rowOff>
    </xdr:to>
    <xdr:graphicFrame>
      <xdr:nvGraphicFramePr>
        <xdr:cNvPr id="11" name="Chart 2"/>
        <xdr:cNvGraphicFramePr/>
      </xdr:nvGraphicFramePr>
      <xdr:xfrm>
        <a:off x="4819650" y="27746325"/>
        <a:ext cx="3609975" cy="2514600"/>
      </xdr:xfrm>
      <a:graphic>
        <a:graphicData uri="http://schemas.openxmlformats.org/drawingml/2006/chart">
          <c:chart xmlns:c="http://schemas.openxmlformats.org/drawingml/2006/chart" r:id="rId11"/>
        </a:graphicData>
      </a:graphic>
    </xdr:graphicFrame>
    <xdr:clientData/>
  </xdr:twoCellAnchor>
  <xdr:twoCellAnchor>
    <xdr:from>
      <xdr:col>1</xdr:col>
      <xdr:colOff>104775</xdr:colOff>
      <xdr:row>81</xdr:row>
      <xdr:rowOff>123825</xdr:rowOff>
    </xdr:from>
    <xdr:to>
      <xdr:col>1</xdr:col>
      <xdr:colOff>3667125</xdr:colOff>
      <xdr:row>94</xdr:row>
      <xdr:rowOff>161925</xdr:rowOff>
    </xdr:to>
    <xdr:graphicFrame>
      <xdr:nvGraphicFramePr>
        <xdr:cNvPr id="12" name="Chart 1"/>
        <xdr:cNvGraphicFramePr/>
      </xdr:nvGraphicFramePr>
      <xdr:xfrm>
        <a:off x="428625" y="15897225"/>
        <a:ext cx="3562350" cy="2514600"/>
      </xdr:xfrm>
      <a:graphic>
        <a:graphicData uri="http://schemas.openxmlformats.org/drawingml/2006/chart">
          <c:chart xmlns:c="http://schemas.openxmlformats.org/drawingml/2006/chart" r:id="rId12"/>
        </a:graphicData>
      </a:graphic>
    </xdr:graphicFrame>
    <xdr:clientData/>
  </xdr:twoCellAnchor>
  <xdr:twoCellAnchor>
    <xdr:from>
      <xdr:col>3</xdr:col>
      <xdr:colOff>47625</xdr:colOff>
      <xdr:row>81</xdr:row>
      <xdr:rowOff>114300</xdr:rowOff>
    </xdr:from>
    <xdr:to>
      <xdr:col>3</xdr:col>
      <xdr:colOff>3648075</xdr:colOff>
      <xdr:row>94</xdr:row>
      <xdr:rowOff>152400</xdr:rowOff>
    </xdr:to>
    <xdr:graphicFrame>
      <xdr:nvGraphicFramePr>
        <xdr:cNvPr id="13" name="Chart 2"/>
        <xdr:cNvGraphicFramePr/>
      </xdr:nvGraphicFramePr>
      <xdr:xfrm>
        <a:off x="4819650" y="15887700"/>
        <a:ext cx="3600450" cy="2514600"/>
      </xdr:xfrm>
      <a:graphic>
        <a:graphicData uri="http://schemas.openxmlformats.org/drawingml/2006/chart">
          <c:chart xmlns:c="http://schemas.openxmlformats.org/drawingml/2006/chart" r:id="rId13"/>
        </a:graphicData>
      </a:graphic>
    </xdr:graphicFrame>
    <xdr:clientData/>
  </xdr:twoCellAnchor>
  <xdr:twoCellAnchor>
    <xdr:from>
      <xdr:col>1</xdr:col>
      <xdr:colOff>57150</xdr:colOff>
      <xdr:row>160</xdr:row>
      <xdr:rowOff>123825</xdr:rowOff>
    </xdr:from>
    <xdr:to>
      <xdr:col>1</xdr:col>
      <xdr:colOff>3629025</xdr:colOff>
      <xdr:row>173</xdr:row>
      <xdr:rowOff>161925</xdr:rowOff>
    </xdr:to>
    <xdr:graphicFrame>
      <xdr:nvGraphicFramePr>
        <xdr:cNvPr id="14" name="Chart 1"/>
        <xdr:cNvGraphicFramePr/>
      </xdr:nvGraphicFramePr>
      <xdr:xfrm>
        <a:off x="381000" y="31927800"/>
        <a:ext cx="3571875" cy="2514600"/>
      </xdr:xfrm>
      <a:graphic>
        <a:graphicData uri="http://schemas.openxmlformats.org/drawingml/2006/chart">
          <c:chart xmlns:c="http://schemas.openxmlformats.org/drawingml/2006/chart" r:id="rId14"/>
        </a:graphicData>
      </a:graphic>
    </xdr:graphicFrame>
    <xdr:clientData/>
  </xdr:twoCellAnchor>
  <xdr:twoCellAnchor>
    <xdr:from>
      <xdr:col>3</xdr:col>
      <xdr:colOff>47625</xdr:colOff>
      <xdr:row>160</xdr:row>
      <xdr:rowOff>104775</xdr:rowOff>
    </xdr:from>
    <xdr:to>
      <xdr:col>3</xdr:col>
      <xdr:colOff>3657600</xdr:colOff>
      <xdr:row>173</xdr:row>
      <xdr:rowOff>142875</xdr:rowOff>
    </xdr:to>
    <xdr:graphicFrame>
      <xdr:nvGraphicFramePr>
        <xdr:cNvPr id="15" name="Chart 2"/>
        <xdr:cNvGraphicFramePr/>
      </xdr:nvGraphicFramePr>
      <xdr:xfrm>
        <a:off x="4819650" y="31908750"/>
        <a:ext cx="3609975" cy="2514600"/>
      </xdr:xfrm>
      <a:graphic>
        <a:graphicData uri="http://schemas.openxmlformats.org/drawingml/2006/chart">
          <c:chart xmlns:c="http://schemas.openxmlformats.org/drawingml/2006/chart" r:id="rId15"/>
        </a:graphicData>
      </a:graphic>
    </xdr:graphicFrame>
    <xdr:clientData/>
  </xdr:twoCellAnchor>
  <xdr:twoCellAnchor>
    <xdr:from>
      <xdr:col>1</xdr:col>
      <xdr:colOff>76200</xdr:colOff>
      <xdr:row>119</xdr:row>
      <xdr:rowOff>0</xdr:rowOff>
    </xdr:from>
    <xdr:to>
      <xdr:col>3</xdr:col>
      <xdr:colOff>3876675</xdr:colOff>
      <xdr:row>136</xdr:row>
      <xdr:rowOff>161925</xdr:rowOff>
    </xdr:to>
    <xdr:graphicFrame>
      <xdr:nvGraphicFramePr>
        <xdr:cNvPr id="16" name="Chart 1"/>
        <xdr:cNvGraphicFramePr/>
      </xdr:nvGraphicFramePr>
      <xdr:xfrm>
        <a:off x="400050" y="23564850"/>
        <a:ext cx="8248650" cy="3238500"/>
      </xdr:xfrm>
      <a:graphic>
        <a:graphicData uri="http://schemas.openxmlformats.org/drawingml/2006/chart">
          <c:chart xmlns:c="http://schemas.openxmlformats.org/drawingml/2006/chart" r:id="rId1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3"/>
  <sheetViews>
    <sheetView showGridLines="0" showRowColHeaders="0" tabSelected="1" zoomScalePageLayoutView="0" workbookViewId="0" topLeftCell="A1">
      <selection activeCell="E13" sqref="E13"/>
    </sheetView>
  </sheetViews>
  <sheetFormatPr defaultColWidth="9.140625" defaultRowHeight="12.75"/>
  <cols>
    <col min="1" max="1" width="4.140625" style="0" customWidth="1"/>
    <col min="2" max="2" width="12.140625" style="0" customWidth="1"/>
    <col min="3" max="8" width="8.7109375" style="0" customWidth="1"/>
    <col min="9" max="9" width="16.28125" style="0" customWidth="1"/>
    <col min="10" max="11" width="8.7109375" style="0" customWidth="1"/>
    <col min="12" max="12" width="57.8515625" style="0" customWidth="1"/>
    <col min="13" max="13" width="27.421875" style="0" customWidth="1"/>
    <col min="14" max="16" width="9.140625" style="0" customWidth="1"/>
    <col min="24" max="25" width="9.140625" style="0" customWidth="1"/>
    <col min="26" max="26" width="3.7109375" style="0" customWidth="1"/>
  </cols>
  <sheetData>
    <row r="1" s="122" customFormat="1" ht="26.25" customHeight="1">
      <c r="L1" s="331" t="s">
        <v>242</v>
      </c>
    </row>
    <row r="2" spans="2:14" s="122" customFormat="1" ht="51.75" customHeight="1">
      <c r="B2" s="288" t="s">
        <v>241</v>
      </c>
      <c r="C2" s="289"/>
      <c r="D2" s="289"/>
      <c r="E2" s="289"/>
      <c r="F2" s="289"/>
      <c r="G2" s="289"/>
      <c r="H2" s="289"/>
      <c r="I2" s="289"/>
      <c r="J2" s="289"/>
      <c r="K2" s="289"/>
      <c r="L2" s="289"/>
      <c r="M2" s="289"/>
      <c r="N2" s="289"/>
    </row>
    <row r="3" s="122" customFormat="1" ht="16.5" customHeight="1">
      <c r="A3" s="90"/>
    </row>
    <row r="4" s="90" customFormat="1" ht="18.75"/>
    <row r="5" spans="2:12" s="122" customFormat="1" ht="33.75" customHeight="1">
      <c r="B5" s="333" t="s">
        <v>237</v>
      </c>
      <c r="C5" s="333"/>
      <c r="D5" s="333"/>
      <c r="E5" s="333"/>
      <c r="F5" s="333"/>
      <c r="G5" s="333"/>
      <c r="H5" s="333"/>
      <c r="I5" s="333"/>
      <c r="J5" s="333"/>
      <c r="K5" s="333"/>
      <c r="L5" s="333"/>
    </row>
    <row r="6" spans="13:17" s="13" customFormat="1" ht="12" customHeight="1">
      <c r="M6" s="63"/>
      <c r="N6" s="63"/>
      <c r="O6" s="63"/>
      <c r="P6" s="63"/>
      <c r="Q6" s="63"/>
    </row>
    <row r="7" s="122" customFormat="1" ht="7.5" customHeight="1"/>
    <row r="8" spans="2:17" s="13" customFormat="1" ht="49.5" customHeight="1">
      <c r="B8" s="333" t="s">
        <v>247</v>
      </c>
      <c r="C8" s="333"/>
      <c r="D8" s="333"/>
      <c r="E8" s="333"/>
      <c r="F8" s="333"/>
      <c r="G8" s="333"/>
      <c r="H8" s="333"/>
      <c r="I8" s="333"/>
      <c r="J8" s="333"/>
      <c r="K8" s="333"/>
      <c r="L8" s="333"/>
      <c r="M8" s="63"/>
      <c r="N8" s="63"/>
      <c r="O8" s="63"/>
      <c r="P8" s="63"/>
      <c r="Q8" s="63"/>
    </row>
    <row r="9" spans="2:13" s="122" customFormat="1" ht="44.25" customHeight="1">
      <c r="B9" s="334" t="s">
        <v>243</v>
      </c>
      <c r="C9" s="335"/>
      <c r="D9" s="335"/>
      <c r="E9" s="335"/>
      <c r="F9" s="335"/>
      <c r="G9" s="335"/>
      <c r="H9" s="335"/>
      <c r="I9" s="335"/>
      <c r="J9" s="335"/>
      <c r="K9" s="335"/>
      <c r="L9" s="335"/>
      <c r="M9" s="335"/>
    </row>
    <row r="10" spans="2:15" s="122" customFormat="1" ht="42.75" customHeight="1">
      <c r="B10" s="333" t="s">
        <v>248</v>
      </c>
      <c r="C10" s="333"/>
      <c r="D10" s="333"/>
      <c r="E10" s="333"/>
      <c r="F10" s="333"/>
      <c r="G10" s="333"/>
      <c r="H10" s="333"/>
      <c r="I10" s="333"/>
      <c r="J10" s="333"/>
      <c r="K10" s="333"/>
      <c r="L10" s="333"/>
      <c r="N10"/>
      <c r="O10"/>
    </row>
    <row r="11" spans="2:15" s="122" customFormat="1" ht="42.75" customHeight="1">
      <c r="B11" s="336" t="s">
        <v>249</v>
      </c>
      <c r="C11" s="336"/>
      <c r="D11" s="336"/>
      <c r="E11" s="336"/>
      <c r="F11" s="336"/>
      <c r="G11" s="336"/>
      <c r="H11" s="336"/>
      <c r="I11" s="336"/>
      <c r="J11" s="336"/>
      <c r="K11" s="336"/>
      <c r="L11" s="336"/>
      <c r="N11"/>
      <c r="O11"/>
    </row>
    <row r="12" spans="2:15" s="122" customFormat="1" ht="15.75">
      <c r="B12" s="30" t="s">
        <v>238</v>
      </c>
      <c r="N12"/>
      <c r="O12"/>
    </row>
    <row r="13" spans="2:14" ht="15.75">
      <c r="B13" s="122"/>
      <c r="C13" s="122" t="s">
        <v>6</v>
      </c>
      <c r="E13" s="114">
        <v>1</v>
      </c>
      <c r="F13" s="74"/>
      <c r="N13" s="138"/>
    </row>
    <row r="14" spans="2:5" ht="15.75">
      <c r="B14" s="122"/>
      <c r="C14" s="122" t="s">
        <v>35</v>
      </c>
      <c r="E14" s="114">
        <v>2016</v>
      </c>
    </row>
    <row r="15" spans="2:6" ht="15.75">
      <c r="B15" s="122"/>
      <c r="C15" s="122"/>
      <c r="E15" s="122"/>
      <c r="F15" s="122"/>
    </row>
    <row r="16" spans="2:6" ht="15.75">
      <c r="B16" s="30" t="s">
        <v>239</v>
      </c>
      <c r="C16" s="122"/>
      <c r="E16" s="122"/>
      <c r="F16" s="122"/>
    </row>
    <row r="17" spans="2:5" ht="15.75">
      <c r="B17" s="122"/>
      <c r="C17" s="122" t="s">
        <v>172</v>
      </c>
      <c r="E17" s="117" t="s">
        <v>179</v>
      </c>
    </row>
    <row r="19" ht="12.75">
      <c r="B19" s="145" t="s">
        <v>240</v>
      </c>
    </row>
    <row r="20" ht="12" customHeight="1"/>
    <row r="21" ht="13.5" customHeight="1"/>
    <row r="22" ht="1.5" customHeight="1"/>
    <row r="23" spans="3:11" ht="12.75">
      <c r="C23" s="332"/>
      <c r="D23" s="332"/>
      <c r="E23" s="332"/>
      <c r="F23" s="332"/>
      <c r="G23" s="332"/>
      <c r="H23" s="332"/>
      <c r="I23" s="332"/>
      <c r="J23" s="24"/>
      <c r="K23" s="24"/>
    </row>
  </sheetData>
  <sheetProtection/>
  <mergeCells count="6">
    <mergeCell ref="C23:I23"/>
    <mergeCell ref="B5:L5"/>
    <mergeCell ref="B8:L8"/>
    <mergeCell ref="B9:M9"/>
    <mergeCell ref="B10:L10"/>
    <mergeCell ref="B11:L1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V5"/>
  <sheetViews>
    <sheetView showGridLines="0" zoomScalePageLayoutView="0" workbookViewId="0" topLeftCell="A1">
      <pane xSplit="1" ySplit="1" topLeftCell="B2" activePane="bottomRight" state="frozen"/>
      <selection pane="topLeft" activeCell="G19" sqref="G19"/>
      <selection pane="topRight" activeCell="G19" sqref="G19"/>
      <selection pane="bottomLeft" activeCell="G19" sqref="G19"/>
      <selection pane="bottomRight" activeCell="A1" sqref="A1"/>
    </sheetView>
  </sheetViews>
  <sheetFormatPr defaultColWidth="9.140625" defaultRowHeight="12.75" outlineLevelCol="1"/>
  <cols>
    <col min="1" max="1" width="42.8515625" style="0" customWidth="1"/>
    <col min="2" max="13" width="13.28125" style="0" customWidth="1" outlineLevel="1"/>
    <col min="14" max="14" width="13.28125" style="0" customWidth="1"/>
    <col min="15" max="26" width="13.28125" style="0" customWidth="1" outlineLevel="1"/>
    <col min="27" max="30" width="13.28125" style="0" customWidth="1"/>
  </cols>
  <sheetData>
    <row r="1" spans="1:31" ht="15.75" customHeight="1">
      <c r="A1" s="27" t="str">
        <f>"INVENTARIOS ("&amp;Introducción!E17&amp;")"</f>
        <v>INVENTARIOS (Dólares)</v>
      </c>
      <c r="B1" s="7">
        <f>DATE(Introducción!E14,Introducción!E13,1)</f>
        <v>42370</v>
      </c>
      <c r="C1" s="7">
        <f aca="true" t="shared" si="0" ref="C1:M1">IF(MONTH(B1)=12,DATE(YEAR(B1)+1,1,1),DATE(YEAR(B1),MONTH(B1)+1,1))</f>
        <v>42401</v>
      </c>
      <c r="D1" s="7">
        <f t="shared" si="0"/>
        <v>42430</v>
      </c>
      <c r="E1" s="7">
        <f t="shared" si="0"/>
        <v>42461</v>
      </c>
      <c r="F1" s="7">
        <f t="shared" si="0"/>
        <v>42491</v>
      </c>
      <c r="G1" s="7">
        <f t="shared" si="0"/>
        <v>42522</v>
      </c>
      <c r="H1" s="7">
        <f t="shared" si="0"/>
        <v>42552</v>
      </c>
      <c r="I1" s="7">
        <f t="shared" si="0"/>
        <v>42583</v>
      </c>
      <c r="J1" s="7">
        <f t="shared" si="0"/>
        <v>42614</v>
      </c>
      <c r="K1" s="7">
        <f t="shared" si="0"/>
        <v>42644</v>
      </c>
      <c r="L1" s="7">
        <f t="shared" si="0"/>
        <v>42675</v>
      </c>
      <c r="M1" s="7">
        <f t="shared" si="0"/>
        <v>42705</v>
      </c>
      <c r="N1" s="81">
        <f>YEAR(M1)</f>
        <v>2016</v>
      </c>
      <c r="O1" s="7">
        <f>IF(MONTH(M1)=12,DATE(YEAR(M1)+1,1,1),DATE(YEAR(M1),MONTH(M1)+1,1))</f>
        <v>42736</v>
      </c>
      <c r="P1" s="7">
        <f aca="true" t="shared" si="1" ref="P1:Z1">IF(MONTH(O1)=12,DATE(YEAR(O1)+1,1,1),DATE(YEAR(O1),MONTH(O1)+1,1))</f>
        <v>42767</v>
      </c>
      <c r="Q1" s="7">
        <f t="shared" si="1"/>
        <v>42795</v>
      </c>
      <c r="R1" s="7">
        <f t="shared" si="1"/>
        <v>42826</v>
      </c>
      <c r="S1" s="7">
        <f t="shared" si="1"/>
        <v>42856</v>
      </c>
      <c r="T1" s="7">
        <f t="shared" si="1"/>
        <v>42887</v>
      </c>
      <c r="U1" s="7">
        <f t="shared" si="1"/>
        <v>42917</v>
      </c>
      <c r="V1" s="7">
        <f t="shared" si="1"/>
        <v>42948</v>
      </c>
      <c r="W1" s="7">
        <f t="shared" si="1"/>
        <v>42979</v>
      </c>
      <c r="X1" s="7">
        <f t="shared" si="1"/>
        <v>43009</v>
      </c>
      <c r="Y1" s="7">
        <f t="shared" si="1"/>
        <v>43040</v>
      </c>
      <c r="Z1" s="7">
        <f t="shared" si="1"/>
        <v>43070</v>
      </c>
      <c r="AA1" s="81">
        <f>YEAR(Z1)</f>
        <v>2017</v>
      </c>
      <c r="AB1" s="81">
        <f>1+AA1</f>
        <v>2018</v>
      </c>
      <c r="AC1" s="81">
        <f>1+AB1</f>
        <v>2019</v>
      </c>
      <c r="AD1" s="81">
        <f>1+AC1</f>
        <v>2020</v>
      </c>
      <c r="AE1" s="49"/>
    </row>
    <row r="2" spans="2:31" ht="12.75">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256" s="106" customFormat="1" ht="12.75">
      <c r="A3" s="106" t="s">
        <v>106</v>
      </c>
      <c r="B3" s="106">
        <f>'Costo de Ventas'!B13</f>
        <v>3000</v>
      </c>
      <c r="C3" s="106">
        <f>'Costo de Ventas'!C13</f>
        <v>3000</v>
      </c>
      <c r="D3" s="106">
        <f>'Costo de Ventas'!D13</f>
        <v>3000</v>
      </c>
      <c r="E3" s="106">
        <f>'Costo de Ventas'!E13</f>
        <v>3000</v>
      </c>
      <c r="F3" s="106">
        <f>'Costo de Ventas'!F13</f>
        <v>3000</v>
      </c>
      <c r="G3" s="106">
        <f>'Costo de Ventas'!G13</f>
        <v>3000</v>
      </c>
      <c r="H3" s="106">
        <f>'Costo de Ventas'!H13</f>
        <v>3000</v>
      </c>
      <c r="I3" s="106">
        <f>'Costo de Ventas'!I13</f>
        <v>3000</v>
      </c>
      <c r="J3" s="106">
        <f>'Costo de Ventas'!J13</f>
        <v>3000</v>
      </c>
      <c r="K3" s="106">
        <f>'Costo de Ventas'!K13</f>
        <v>3000</v>
      </c>
      <c r="L3" s="106">
        <f>'Costo de Ventas'!L13</f>
        <v>3000</v>
      </c>
      <c r="M3" s="106">
        <f>'Costo de Ventas'!M13</f>
        <v>3000</v>
      </c>
      <c r="N3" s="106">
        <f>'Costo de Ventas'!N13</f>
        <v>36000</v>
      </c>
      <c r="O3" s="106">
        <f>'Costo de Ventas'!O13</f>
        <v>3750</v>
      </c>
      <c r="P3" s="106">
        <f>'Costo de Ventas'!P13</f>
        <v>3750</v>
      </c>
      <c r="Q3" s="106">
        <f>'Costo de Ventas'!Q13</f>
        <v>3750</v>
      </c>
      <c r="R3" s="106">
        <f>'Costo de Ventas'!R13</f>
        <v>3750</v>
      </c>
      <c r="S3" s="106">
        <f>'Costo de Ventas'!S13</f>
        <v>3750</v>
      </c>
      <c r="T3" s="106">
        <f>'Costo de Ventas'!T13</f>
        <v>3750</v>
      </c>
      <c r="U3" s="106">
        <f>'Costo de Ventas'!U13</f>
        <v>3750</v>
      </c>
      <c r="V3" s="106">
        <f>'Costo de Ventas'!V13</f>
        <v>3750</v>
      </c>
      <c r="W3" s="106">
        <f>'Costo de Ventas'!W13</f>
        <v>3750</v>
      </c>
      <c r="X3" s="106">
        <f>'Costo de Ventas'!X13</f>
        <v>3750</v>
      </c>
      <c r="Y3" s="106">
        <f>'Costo de Ventas'!Y13</f>
        <v>3750</v>
      </c>
      <c r="Z3" s="106">
        <f>'Costo de Ventas'!Z13</f>
        <v>3750</v>
      </c>
      <c r="AA3" s="106">
        <f>'Costo de Ventas'!AA13</f>
        <v>45000</v>
      </c>
      <c r="AB3" s="106">
        <f>'Costo de Ventas'!AB13</f>
        <v>49770</v>
      </c>
      <c r="AC3" s="106">
        <f>'Costo de Ventas'!AC13</f>
        <v>58100</v>
      </c>
      <c r="AD3" s="106">
        <f>'Costo de Ventas'!AD13</f>
        <v>73080</v>
      </c>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38" customFormat="1" ht="12.75">
      <c r="A4" s="38" t="s">
        <v>27</v>
      </c>
      <c r="B4" s="41">
        <f>'Costo de Ventas'!B14</f>
        <v>0</v>
      </c>
      <c r="C4" s="41">
        <f>'Costo de Ventas'!C14</f>
        <v>0</v>
      </c>
      <c r="D4" s="41">
        <f>'Costo de Ventas'!D14</f>
        <v>0</v>
      </c>
      <c r="E4" s="41">
        <f>'Costo de Ventas'!E14</f>
        <v>0</v>
      </c>
      <c r="F4" s="41">
        <f>'Costo de Ventas'!F14</f>
        <v>0</v>
      </c>
      <c r="G4" s="41">
        <f>'Costo de Ventas'!G14</f>
        <v>0</v>
      </c>
      <c r="H4" s="41">
        <f>'Costo de Ventas'!H14</f>
        <v>0</v>
      </c>
      <c r="I4" s="41">
        <f>'Costo de Ventas'!I14</f>
        <v>0</v>
      </c>
      <c r="J4" s="41">
        <f>'Costo de Ventas'!J14</f>
        <v>0</v>
      </c>
      <c r="K4" s="41">
        <f>'Costo de Ventas'!K14</f>
        <v>0</v>
      </c>
      <c r="L4" s="41">
        <f>'Costo de Ventas'!L14</f>
        <v>0</v>
      </c>
      <c r="M4" s="41">
        <f>'Costo de Ventas'!M14</f>
        <v>0</v>
      </c>
      <c r="N4" s="21">
        <f>IF(N3=0,0,N5/N3*360)</f>
        <v>0</v>
      </c>
      <c r="O4" s="41">
        <f>'Costo de Ventas'!O14</f>
        <v>0</v>
      </c>
      <c r="P4" s="41">
        <f>'Costo de Ventas'!P14</f>
        <v>0</v>
      </c>
      <c r="Q4" s="41">
        <f>'Costo de Ventas'!Q14</f>
        <v>0</v>
      </c>
      <c r="R4" s="41">
        <f>'Costo de Ventas'!R14</f>
        <v>0</v>
      </c>
      <c r="S4" s="41">
        <f>'Costo de Ventas'!S14</f>
        <v>0</v>
      </c>
      <c r="T4" s="41">
        <f>'Costo de Ventas'!T14</f>
        <v>0</v>
      </c>
      <c r="U4" s="41">
        <f>'Costo de Ventas'!U14</f>
        <v>0</v>
      </c>
      <c r="V4" s="41">
        <f>'Costo de Ventas'!V14</f>
        <v>0</v>
      </c>
      <c r="W4" s="41">
        <f>'Costo de Ventas'!W14</f>
        <v>0</v>
      </c>
      <c r="X4" s="41">
        <f>'Costo de Ventas'!X14</f>
        <v>0</v>
      </c>
      <c r="Y4" s="41">
        <f>'Costo de Ventas'!Y14</f>
        <v>0</v>
      </c>
      <c r="Z4" s="41">
        <f>'Costo de Ventas'!Z14</f>
        <v>0</v>
      </c>
      <c r="AA4" s="21">
        <f>IF(AA3=0,0,AA5/AA3*360)</f>
        <v>0</v>
      </c>
      <c r="AB4" s="41">
        <f>'Costo de Ventas'!AB14</f>
        <v>0</v>
      </c>
      <c r="AC4" s="41">
        <f>'Costo de Ventas'!AC14</f>
        <v>0</v>
      </c>
      <c r="AD4" s="41">
        <f>'Costo de Ventas'!AD14</f>
        <v>0</v>
      </c>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80" customFormat="1" ht="15">
      <c r="A5" s="80" t="s">
        <v>147</v>
      </c>
      <c r="B5" s="80">
        <f aca="true" t="shared" si="2" ref="B5:M5">B3/30*B4</f>
        <v>0</v>
      </c>
      <c r="C5" s="80">
        <f t="shared" si="2"/>
        <v>0</v>
      </c>
      <c r="D5" s="80">
        <f t="shared" si="2"/>
        <v>0</v>
      </c>
      <c r="E5" s="80">
        <f t="shared" si="2"/>
        <v>0</v>
      </c>
      <c r="F5" s="80">
        <f t="shared" si="2"/>
        <v>0</v>
      </c>
      <c r="G5" s="80">
        <f t="shared" si="2"/>
        <v>0</v>
      </c>
      <c r="H5" s="80">
        <f t="shared" si="2"/>
        <v>0</v>
      </c>
      <c r="I5" s="80">
        <f t="shared" si="2"/>
        <v>0</v>
      </c>
      <c r="J5" s="80">
        <f t="shared" si="2"/>
        <v>0</v>
      </c>
      <c r="K5" s="80">
        <f t="shared" si="2"/>
        <v>0</v>
      </c>
      <c r="L5" s="80">
        <f t="shared" si="2"/>
        <v>0</v>
      </c>
      <c r="M5" s="80">
        <f t="shared" si="2"/>
        <v>0</v>
      </c>
      <c r="N5" s="80">
        <f>M5</f>
        <v>0</v>
      </c>
      <c r="O5" s="80">
        <f aca="true" t="shared" si="3" ref="O5:Z5">O3/30*O4</f>
        <v>0</v>
      </c>
      <c r="P5" s="80">
        <f t="shared" si="3"/>
        <v>0</v>
      </c>
      <c r="Q5" s="80">
        <f t="shared" si="3"/>
        <v>0</v>
      </c>
      <c r="R5" s="80">
        <f t="shared" si="3"/>
        <v>0</v>
      </c>
      <c r="S5" s="80">
        <f t="shared" si="3"/>
        <v>0</v>
      </c>
      <c r="T5" s="80">
        <f t="shared" si="3"/>
        <v>0</v>
      </c>
      <c r="U5" s="80">
        <f t="shared" si="3"/>
        <v>0</v>
      </c>
      <c r="V5" s="80">
        <f t="shared" si="3"/>
        <v>0</v>
      </c>
      <c r="W5" s="80">
        <f t="shared" si="3"/>
        <v>0</v>
      </c>
      <c r="X5" s="80">
        <f t="shared" si="3"/>
        <v>0</v>
      </c>
      <c r="Y5" s="80">
        <f t="shared" si="3"/>
        <v>0</v>
      </c>
      <c r="Z5" s="80">
        <f t="shared" si="3"/>
        <v>0</v>
      </c>
      <c r="AA5" s="80">
        <f>Z5</f>
        <v>0</v>
      </c>
      <c r="AB5" s="80">
        <f>AB3/360*AB4</f>
        <v>0</v>
      </c>
      <c r="AC5" s="80">
        <f>AC3/360*AC4</f>
        <v>0</v>
      </c>
      <c r="AD5" s="80">
        <f>AD3/360*AD4</f>
        <v>0</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sheetData>
  <sheetProtection/>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AF35"/>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F7" sqref="AF7"/>
    </sheetView>
  </sheetViews>
  <sheetFormatPr defaultColWidth="11.42187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s>
  <sheetData>
    <row r="1" spans="1:32" ht="15.75" customHeight="1">
      <c r="A1" s="141" t="str">
        <f>"FINANCIAMIENTO ("&amp;Introducción!E17&amp;")"</f>
        <v>FINANCIAMIENTO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88"/>
      <c r="AF1" s="200"/>
    </row>
    <row r="2" spans="1:32" ht="15">
      <c r="A2" s="199"/>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200"/>
    </row>
    <row r="3" spans="1:32" ht="15">
      <c r="A3" s="231" t="s">
        <v>175</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200"/>
    </row>
    <row r="4" spans="1:32" ht="15">
      <c r="A4" s="232" t="s">
        <v>201</v>
      </c>
      <c r="B4" s="233">
        <v>30000</v>
      </c>
      <c r="C4" s="233">
        <v>0</v>
      </c>
      <c r="D4" s="233">
        <v>0</v>
      </c>
      <c r="E4" s="233">
        <v>0</v>
      </c>
      <c r="F4" s="233">
        <v>0</v>
      </c>
      <c r="G4" s="233">
        <v>0</v>
      </c>
      <c r="H4" s="233">
        <v>0</v>
      </c>
      <c r="I4" s="233">
        <v>0</v>
      </c>
      <c r="J4" s="233">
        <v>0</v>
      </c>
      <c r="K4" s="233">
        <v>0</v>
      </c>
      <c r="L4" s="233">
        <v>0</v>
      </c>
      <c r="M4" s="233">
        <v>0</v>
      </c>
      <c r="N4" s="228">
        <f>SUM(B4:M4)</f>
        <v>30000</v>
      </c>
      <c r="O4" s="233">
        <v>5000</v>
      </c>
      <c r="P4" s="233">
        <v>0</v>
      </c>
      <c r="Q4" s="233">
        <v>0</v>
      </c>
      <c r="R4" s="233">
        <v>0</v>
      </c>
      <c r="S4" s="233">
        <v>0</v>
      </c>
      <c r="T4" s="233">
        <v>0</v>
      </c>
      <c r="U4" s="233">
        <v>0</v>
      </c>
      <c r="V4" s="233">
        <v>0</v>
      </c>
      <c r="W4" s="233">
        <v>0</v>
      </c>
      <c r="X4" s="233">
        <v>0</v>
      </c>
      <c r="Y4" s="233">
        <v>0</v>
      </c>
      <c r="Z4" s="233">
        <v>0</v>
      </c>
      <c r="AA4" s="228">
        <f>SUM(O4:Z4)</f>
        <v>5000</v>
      </c>
      <c r="AB4" s="233">
        <v>0</v>
      </c>
      <c r="AC4" s="233">
        <v>0</v>
      </c>
      <c r="AD4" s="233">
        <v>0</v>
      </c>
      <c r="AE4" s="199"/>
      <c r="AF4" s="200"/>
    </row>
    <row r="5" spans="1:32" ht="15">
      <c r="A5" s="232" t="s">
        <v>45</v>
      </c>
      <c r="B5" s="233">
        <v>0</v>
      </c>
      <c r="C5" s="233">
        <v>0</v>
      </c>
      <c r="D5" s="233">
        <v>0</v>
      </c>
      <c r="E5" s="233">
        <v>0</v>
      </c>
      <c r="F5" s="233">
        <v>0</v>
      </c>
      <c r="G5" s="233">
        <v>0</v>
      </c>
      <c r="H5" s="233">
        <v>0</v>
      </c>
      <c r="I5" s="233">
        <v>0</v>
      </c>
      <c r="J5" s="233">
        <v>0</v>
      </c>
      <c r="K5" s="233">
        <v>0</v>
      </c>
      <c r="L5" s="233">
        <v>0</v>
      </c>
      <c r="M5" s="233">
        <v>2000</v>
      </c>
      <c r="N5" s="228">
        <f>SUM(B5:M5)</f>
        <v>2000</v>
      </c>
      <c r="O5" s="233">
        <v>0</v>
      </c>
      <c r="P5" s="233">
        <v>0</v>
      </c>
      <c r="Q5" s="233">
        <v>0</v>
      </c>
      <c r="R5" s="233">
        <v>0</v>
      </c>
      <c r="S5" s="233">
        <v>0</v>
      </c>
      <c r="T5" s="233">
        <v>0</v>
      </c>
      <c r="U5" s="233">
        <v>0</v>
      </c>
      <c r="V5" s="233">
        <v>0</v>
      </c>
      <c r="W5" s="233">
        <v>0</v>
      </c>
      <c r="X5" s="233">
        <v>0</v>
      </c>
      <c r="Y5" s="233">
        <v>0</v>
      </c>
      <c r="Z5" s="233">
        <v>3000</v>
      </c>
      <c r="AA5" s="228">
        <f>SUM(O5:Z5)</f>
        <v>3000</v>
      </c>
      <c r="AB5" s="233">
        <v>5000</v>
      </c>
      <c r="AC5" s="233">
        <v>7000</v>
      </c>
      <c r="AD5" s="233">
        <v>9000</v>
      </c>
      <c r="AE5" s="199"/>
      <c r="AF5" s="200"/>
    </row>
    <row r="6" spans="1:32" s="124" customFormat="1" ht="15">
      <c r="A6" s="234" t="s">
        <v>233</v>
      </c>
      <c r="B6" s="235">
        <f aca="true" t="shared" si="2" ref="B6:M6">B4-B5</f>
        <v>30000</v>
      </c>
      <c r="C6" s="235">
        <f t="shared" si="2"/>
        <v>0</v>
      </c>
      <c r="D6" s="235">
        <f t="shared" si="2"/>
        <v>0</v>
      </c>
      <c r="E6" s="235">
        <f t="shared" si="2"/>
        <v>0</v>
      </c>
      <c r="F6" s="235">
        <f t="shared" si="2"/>
        <v>0</v>
      </c>
      <c r="G6" s="235">
        <f t="shared" si="2"/>
        <v>0</v>
      </c>
      <c r="H6" s="235">
        <f t="shared" si="2"/>
        <v>0</v>
      </c>
      <c r="I6" s="235">
        <f t="shared" si="2"/>
        <v>0</v>
      </c>
      <c r="J6" s="235">
        <f t="shared" si="2"/>
        <v>0</v>
      </c>
      <c r="K6" s="235">
        <f t="shared" si="2"/>
        <v>0</v>
      </c>
      <c r="L6" s="235">
        <f t="shared" si="2"/>
        <v>0</v>
      </c>
      <c r="M6" s="235">
        <f t="shared" si="2"/>
        <v>-2000</v>
      </c>
      <c r="N6" s="236">
        <f>SUM(B6:M6)</f>
        <v>28000</v>
      </c>
      <c r="O6" s="235">
        <f aca="true" t="shared" si="3" ref="O6:Z6">O4-O5</f>
        <v>5000</v>
      </c>
      <c r="P6" s="235">
        <f t="shared" si="3"/>
        <v>0</v>
      </c>
      <c r="Q6" s="235">
        <f t="shared" si="3"/>
        <v>0</v>
      </c>
      <c r="R6" s="235">
        <f t="shared" si="3"/>
        <v>0</v>
      </c>
      <c r="S6" s="235">
        <f t="shared" si="3"/>
        <v>0</v>
      </c>
      <c r="T6" s="235">
        <f t="shared" si="3"/>
        <v>0</v>
      </c>
      <c r="U6" s="235">
        <f t="shared" si="3"/>
        <v>0</v>
      </c>
      <c r="V6" s="235">
        <f t="shared" si="3"/>
        <v>0</v>
      </c>
      <c r="W6" s="235">
        <f t="shared" si="3"/>
        <v>0</v>
      </c>
      <c r="X6" s="235">
        <f t="shared" si="3"/>
        <v>0</v>
      </c>
      <c r="Y6" s="235">
        <f t="shared" si="3"/>
        <v>0</v>
      </c>
      <c r="Z6" s="235">
        <f t="shared" si="3"/>
        <v>-3000</v>
      </c>
      <c r="AA6" s="236">
        <f>SUM(O6:Z6)</f>
        <v>2000</v>
      </c>
      <c r="AB6" s="235">
        <f>AB4-AB5</f>
        <v>-5000</v>
      </c>
      <c r="AC6" s="235">
        <f>AC4-AC5</f>
        <v>-7000</v>
      </c>
      <c r="AD6" s="235">
        <f>AD4-AD5</f>
        <v>-9000</v>
      </c>
      <c r="AE6" s="231"/>
      <c r="AF6" s="257"/>
    </row>
    <row r="7" spans="1:32" ht="13.5" customHeight="1">
      <c r="A7" s="237"/>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199"/>
      <c r="AF7" s="200"/>
    </row>
    <row r="8" spans="1:32" ht="13.5" customHeight="1">
      <c r="A8" s="237"/>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199"/>
      <c r="AF8" s="200"/>
    </row>
    <row r="9" spans="1:32" ht="13.5" customHeight="1">
      <c r="A9" s="239" t="s">
        <v>183</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199"/>
      <c r="AF9" s="200"/>
    </row>
    <row r="10" spans="1:32" ht="15">
      <c r="A10" s="232" t="s">
        <v>15</v>
      </c>
      <c r="B10" s="233">
        <v>0</v>
      </c>
      <c r="C10" s="233">
        <v>0</v>
      </c>
      <c r="D10" s="233">
        <v>0</v>
      </c>
      <c r="E10" s="233">
        <v>0</v>
      </c>
      <c r="F10" s="233">
        <v>0</v>
      </c>
      <c r="G10" s="233">
        <v>0</v>
      </c>
      <c r="H10" s="233">
        <v>0</v>
      </c>
      <c r="I10" s="233">
        <v>0</v>
      </c>
      <c r="J10" s="233">
        <v>0</v>
      </c>
      <c r="K10" s="233">
        <v>0</v>
      </c>
      <c r="L10" s="233">
        <v>0</v>
      </c>
      <c r="M10" s="233">
        <v>0</v>
      </c>
      <c r="N10" s="228">
        <f>SUM(B10:M10)</f>
        <v>0</v>
      </c>
      <c r="O10" s="233">
        <v>0</v>
      </c>
      <c r="P10" s="233">
        <v>0</v>
      </c>
      <c r="Q10" s="233">
        <v>0</v>
      </c>
      <c r="R10" s="233">
        <v>0</v>
      </c>
      <c r="S10" s="233">
        <v>0</v>
      </c>
      <c r="T10" s="233">
        <v>0</v>
      </c>
      <c r="U10" s="233">
        <v>0</v>
      </c>
      <c r="V10" s="233">
        <v>0</v>
      </c>
      <c r="W10" s="233">
        <v>0</v>
      </c>
      <c r="X10" s="233">
        <v>0</v>
      </c>
      <c r="Y10" s="233">
        <v>0</v>
      </c>
      <c r="Z10" s="233">
        <v>0</v>
      </c>
      <c r="AA10" s="228">
        <f>SUM(O10:Z10)</f>
        <v>0</v>
      </c>
      <c r="AB10" s="233">
        <v>0</v>
      </c>
      <c r="AC10" s="233">
        <v>0</v>
      </c>
      <c r="AD10" s="233">
        <v>0</v>
      </c>
      <c r="AE10" s="199"/>
      <c r="AF10" s="200"/>
    </row>
    <row r="11" spans="1:32" ht="15">
      <c r="A11" s="232" t="s">
        <v>88</v>
      </c>
      <c r="B11" s="233">
        <v>0</v>
      </c>
      <c r="C11" s="233">
        <v>0</v>
      </c>
      <c r="D11" s="233">
        <v>0</v>
      </c>
      <c r="E11" s="233">
        <v>0</v>
      </c>
      <c r="F11" s="233">
        <v>0</v>
      </c>
      <c r="G11" s="233">
        <v>0</v>
      </c>
      <c r="H11" s="233">
        <v>0</v>
      </c>
      <c r="I11" s="233">
        <v>0</v>
      </c>
      <c r="J11" s="233">
        <v>0</v>
      </c>
      <c r="K11" s="233">
        <v>0</v>
      </c>
      <c r="L11" s="233">
        <v>0</v>
      </c>
      <c r="M11" s="233">
        <v>0</v>
      </c>
      <c r="N11" s="228">
        <f>SUM(B11:M11)</f>
        <v>0</v>
      </c>
      <c r="O11" s="233">
        <v>0</v>
      </c>
      <c r="P11" s="233">
        <v>0</v>
      </c>
      <c r="Q11" s="233">
        <v>0</v>
      </c>
      <c r="R11" s="233">
        <v>0</v>
      </c>
      <c r="S11" s="233">
        <v>0</v>
      </c>
      <c r="T11" s="233">
        <v>0</v>
      </c>
      <c r="U11" s="233">
        <v>0</v>
      </c>
      <c r="V11" s="233">
        <v>0</v>
      </c>
      <c r="W11" s="233">
        <v>0</v>
      </c>
      <c r="X11" s="233">
        <v>0</v>
      </c>
      <c r="Y11" s="233">
        <v>0</v>
      </c>
      <c r="Z11" s="233">
        <v>0</v>
      </c>
      <c r="AA11" s="228">
        <f>SUM(O11:Z11)</f>
        <v>0</v>
      </c>
      <c r="AB11" s="233">
        <v>0</v>
      </c>
      <c r="AC11" s="233">
        <v>0</v>
      </c>
      <c r="AD11" s="233">
        <v>0</v>
      </c>
      <c r="AE11" s="199"/>
      <c r="AF11" s="200"/>
    </row>
    <row r="12" spans="1:32" s="124" customFormat="1" ht="15">
      <c r="A12" s="234" t="s">
        <v>63</v>
      </c>
      <c r="B12" s="235">
        <f>B10-B11</f>
        <v>0</v>
      </c>
      <c r="C12" s="235">
        <f aca="true" t="shared" si="4" ref="C12:M12">B12+C10-C11</f>
        <v>0</v>
      </c>
      <c r="D12" s="235">
        <f t="shared" si="4"/>
        <v>0</v>
      </c>
      <c r="E12" s="235">
        <f t="shared" si="4"/>
        <v>0</v>
      </c>
      <c r="F12" s="235">
        <f t="shared" si="4"/>
        <v>0</v>
      </c>
      <c r="G12" s="235">
        <f t="shared" si="4"/>
        <v>0</v>
      </c>
      <c r="H12" s="235">
        <f t="shared" si="4"/>
        <v>0</v>
      </c>
      <c r="I12" s="235">
        <f t="shared" si="4"/>
        <v>0</v>
      </c>
      <c r="J12" s="235">
        <f t="shared" si="4"/>
        <v>0</v>
      </c>
      <c r="K12" s="235">
        <f t="shared" si="4"/>
        <v>0</v>
      </c>
      <c r="L12" s="235">
        <f t="shared" si="4"/>
        <v>0</v>
      </c>
      <c r="M12" s="235">
        <f t="shared" si="4"/>
        <v>0</v>
      </c>
      <c r="N12" s="235">
        <f>N10-N11</f>
        <v>0</v>
      </c>
      <c r="O12" s="235">
        <f aca="true" t="shared" si="5" ref="O12:Z12">N12+O10-O11</f>
        <v>0</v>
      </c>
      <c r="P12" s="235">
        <f t="shared" si="5"/>
        <v>0</v>
      </c>
      <c r="Q12" s="235">
        <f t="shared" si="5"/>
        <v>0</v>
      </c>
      <c r="R12" s="235">
        <f t="shared" si="5"/>
        <v>0</v>
      </c>
      <c r="S12" s="235">
        <f t="shared" si="5"/>
        <v>0</v>
      </c>
      <c r="T12" s="235">
        <f t="shared" si="5"/>
        <v>0</v>
      </c>
      <c r="U12" s="235">
        <f t="shared" si="5"/>
        <v>0</v>
      </c>
      <c r="V12" s="235">
        <f t="shared" si="5"/>
        <v>0</v>
      </c>
      <c r="W12" s="235">
        <f t="shared" si="5"/>
        <v>0</v>
      </c>
      <c r="X12" s="235">
        <f t="shared" si="5"/>
        <v>0</v>
      </c>
      <c r="Y12" s="235">
        <f t="shared" si="5"/>
        <v>0</v>
      </c>
      <c r="Z12" s="235">
        <f t="shared" si="5"/>
        <v>0</v>
      </c>
      <c r="AA12" s="235">
        <f>N12+AA10-AA11</f>
        <v>0</v>
      </c>
      <c r="AB12" s="235">
        <f>AA12+AB10-AB11</f>
        <v>0</v>
      </c>
      <c r="AC12" s="235">
        <f>AB12+AC10-AC11</f>
        <v>0</v>
      </c>
      <c r="AD12" s="235">
        <f>AC12+AD10-AD11</f>
        <v>0</v>
      </c>
      <c r="AE12" s="231"/>
      <c r="AF12" s="257"/>
    </row>
    <row r="13" spans="1:32" ht="15">
      <c r="A13" s="240"/>
      <c r="B13" s="241"/>
      <c r="C13" s="241"/>
      <c r="D13" s="241"/>
      <c r="E13" s="241"/>
      <c r="F13" s="241"/>
      <c r="G13" s="241"/>
      <c r="H13" s="241"/>
      <c r="I13" s="241"/>
      <c r="J13" s="241"/>
      <c r="K13" s="241"/>
      <c r="L13" s="241"/>
      <c r="M13" s="241"/>
      <c r="N13" s="228"/>
      <c r="O13" s="241"/>
      <c r="P13" s="241"/>
      <c r="Q13" s="241"/>
      <c r="R13" s="241"/>
      <c r="S13" s="241"/>
      <c r="T13" s="241"/>
      <c r="U13" s="241"/>
      <c r="V13" s="241"/>
      <c r="W13" s="241"/>
      <c r="X13" s="241"/>
      <c r="Y13" s="241"/>
      <c r="Z13" s="241"/>
      <c r="AA13" s="228"/>
      <c r="AB13" s="241"/>
      <c r="AC13" s="241"/>
      <c r="AD13" s="241"/>
      <c r="AE13" s="199"/>
      <c r="AF13" s="200"/>
    </row>
    <row r="14" spans="1:32" ht="15">
      <c r="A14" s="232" t="s">
        <v>128</v>
      </c>
      <c r="B14" s="233">
        <v>0</v>
      </c>
      <c r="C14" s="233">
        <v>0</v>
      </c>
      <c r="D14" s="233">
        <v>0</v>
      </c>
      <c r="E14" s="233">
        <v>0</v>
      </c>
      <c r="F14" s="233">
        <v>0</v>
      </c>
      <c r="G14" s="233">
        <v>0</v>
      </c>
      <c r="H14" s="233">
        <v>0</v>
      </c>
      <c r="I14" s="233">
        <v>0</v>
      </c>
      <c r="J14" s="233">
        <v>0</v>
      </c>
      <c r="K14" s="233">
        <v>0</v>
      </c>
      <c r="L14" s="233">
        <v>0</v>
      </c>
      <c r="M14" s="233">
        <v>0</v>
      </c>
      <c r="N14" s="228">
        <f>SUM(B14:M14)</f>
        <v>0</v>
      </c>
      <c r="O14" s="233">
        <v>0</v>
      </c>
      <c r="P14" s="233">
        <v>0</v>
      </c>
      <c r="Q14" s="233">
        <v>0</v>
      </c>
      <c r="R14" s="233">
        <v>0</v>
      </c>
      <c r="S14" s="233">
        <v>0</v>
      </c>
      <c r="T14" s="233">
        <v>0</v>
      </c>
      <c r="U14" s="233">
        <v>0</v>
      </c>
      <c r="V14" s="233">
        <v>0</v>
      </c>
      <c r="W14" s="233">
        <v>0</v>
      </c>
      <c r="X14" s="233">
        <v>0</v>
      </c>
      <c r="Y14" s="233">
        <v>0</v>
      </c>
      <c r="Z14" s="233">
        <v>0</v>
      </c>
      <c r="AA14" s="228">
        <f>SUM(O14:Z14)</f>
        <v>0</v>
      </c>
      <c r="AB14" s="233">
        <v>0</v>
      </c>
      <c r="AC14" s="233">
        <v>0</v>
      </c>
      <c r="AD14" s="233">
        <v>0</v>
      </c>
      <c r="AE14" s="199"/>
      <c r="AF14" s="200"/>
    </row>
    <row r="15" spans="1:32" ht="15">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199"/>
      <c r="AF15" s="200"/>
    </row>
    <row r="16" spans="1:32" ht="15">
      <c r="A16" s="238"/>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199"/>
      <c r="AF16" s="200"/>
    </row>
    <row r="17" spans="1:32" ht="15">
      <c r="A17" s="242" t="s">
        <v>171</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199"/>
      <c r="AF17" s="200"/>
    </row>
    <row r="18" spans="1:32" ht="15">
      <c r="A18" s="232" t="s">
        <v>15</v>
      </c>
      <c r="B18" s="233">
        <v>0</v>
      </c>
      <c r="C18" s="233">
        <v>0</v>
      </c>
      <c r="D18" s="233">
        <v>0</v>
      </c>
      <c r="E18" s="233">
        <v>0</v>
      </c>
      <c r="F18" s="233">
        <v>0</v>
      </c>
      <c r="G18" s="233">
        <v>0</v>
      </c>
      <c r="H18" s="233">
        <v>0</v>
      </c>
      <c r="I18" s="233">
        <v>0</v>
      </c>
      <c r="J18" s="233">
        <v>0</v>
      </c>
      <c r="K18" s="233">
        <v>0</v>
      </c>
      <c r="L18" s="233">
        <v>0</v>
      </c>
      <c r="M18" s="233">
        <v>0</v>
      </c>
      <c r="N18" s="228">
        <f>SUM(B18:M18)</f>
        <v>0</v>
      </c>
      <c r="O18" s="233">
        <v>0</v>
      </c>
      <c r="P18" s="233">
        <v>0</v>
      </c>
      <c r="Q18" s="233">
        <v>0</v>
      </c>
      <c r="R18" s="233">
        <v>0</v>
      </c>
      <c r="S18" s="233">
        <v>0</v>
      </c>
      <c r="T18" s="233">
        <v>0</v>
      </c>
      <c r="U18" s="233">
        <v>0</v>
      </c>
      <c r="V18" s="233">
        <v>0</v>
      </c>
      <c r="W18" s="233">
        <v>0</v>
      </c>
      <c r="X18" s="233">
        <v>0</v>
      </c>
      <c r="Y18" s="233">
        <v>0</v>
      </c>
      <c r="Z18" s="233">
        <v>0</v>
      </c>
      <c r="AA18" s="228">
        <f>SUM(O18:Z18)</f>
        <v>0</v>
      </c>
      <c r="AB18" s="233">
        <v>0</v>
      </c>
      <c r="AC18" s="233">
        <v>0</v>
      </c>
      <c r="AD18" s="233">
        <v>0</v>
      </c>
      <c r="AE18" s="199"/>
      <c r="AF18" s="200"/>
    </row>
    <row r="19" spans="1:32" ht="15">
      <c r="A19" s="232" t="s">
        <v>88</v>
      </c>
      <c r="B19" s="233">
        <v>0</v>
      </c>
      <c r="C19" s="233">
        <v>0</v>
      </c>
      <c r="D19" s="233">
        <v>0</v>
      </c>
      <c r="E19" s="233">
        <v>0</v>
      </c>
      <c r="F19" s="233">
        <v>0</v>
      </c>
      <c r="G19" s="233">
        <v>0</v>
      </c>
      <c r="H19" s="233">
        <v>0</v>
      </c>
      <c r="I19" s="233">
        <v>0</v>
      </c>
      <c r="J19" s="233">
        <v>0</v>
      </c>
      <c r="K19" s="233">
        <v>0</v>
      </c>
      <c r="L19" s="233">
        <v>0</v>
      </c>
      <c r="M19" s="233">
        <v>0</v>
      </c>
      <c r="N19" s="228">
        <f>SUM(B19:M19)</f>
        <v>0</v>
      </c>
      <c r="O19" s="233">
        <v>0</v>
      </c>
      <c r="P19" s="233">
        <v>0</v>
      </c>
      <c r="Q19" s="233">
        <v>0</v>
      </c>
      <c r="R19" s="233">
        <v>0</v>
      </c>
      <c r="S19" s="233">
        <v>0</v>
      </c>
      <c r="T19" s="233">
        <v>0</v>
      </c>
      <c r="U19" s="233">
        <v>0</v>
      </c>
      <c r="V19" s="233">
        <v>0</v>
      </c>
      <c r="W19" s="233">
        <v>0</v>
      </c>
      <c r="X19" s="233">
        <v>0</v>
      </c>
      <c r="Y19" s="233">
        <v>0</v>
      </c>
      <c r="Z19" s="233">
        <v>0</v>
      </c>
      <c r="AA19" s="228">
        <f>SUM(O19:Z19)</f>
        <v>0</v>
      </c>
      <c r="AB19" s="233">
        <v>0</v>
      </c>
      <c r="AC19" s="233">
        <v>0</v>
      </c>
      <c r="AD19" s="233">
        <v>0</v>
      </c>
      <c r="AE19" s="199"/>
      <c r="AF19" s="200"/>
    </row>
    <row r="20" spans="1:32" s="124" customFormat="1" ht="15">
      <c r="A20" s="234" t="s">
        <v>122</v>
      </c>
      <c r="B20" s="235">
        <f>B18-B19</f>
        <v>0</v>
      </c>
      <c r="C20" s="235">
        <f aca="true" t="shared" si="6" ref="C20:M20">B20+C18-C19</f>
        <v>0</v>
      </c>
      <c r="D20" s="235">
        <f t="shared" si="6"/>
        <v>0</v>
      </c>
      <c r="E20" s="235">
        <f t="shared" si="6"/>
        <v>0</v>
      </c>
      <c r="F20" s="235">
        <f t="shared" si="6"/>
        <v>0</v>
      </c>
      <c r="G20" s="235">
        <f t="shared" si="6"/>
        <v>0</v>
      </c>
      <c r="H20" s="235">
        <f t="shared" si="6"/>
        <v>0</v>
      </c>
      <c r="I20" s="235">
        <f t="shared" si="6"/>
        <v>0</v>
      </c>
      <c r="J20" s="235">
        <f t="shared" si="6"/>
        <v>0</v>
      </c>
      <c r="K20" s="235">
        <f t="shared" si="6"/>
        <v>0</v>
      </c>
      <c r="L20" s="235">
        <f t="shared" si="6"/>
        <v>0</v>
      </c>
      <c r="M20" s="235">
        <f t="shared" si="6"/>
        <v>0</v>
      </c>
      <c r="N20" s="235">
        <f>N18-N19</f>
        <v>0</v>
      </c>
      <c r="O20" s="235">
        <f aca="true" t="shared" si="7" ref="O20:Z20">N20+O18-O19</f>
        <v>0</v>
      </c>
      <c r="P20" s="235">
        <f t="shared" si="7"/>
        <v>0</v>
      </c>
      <c r="Q20" s="235">
        <f t="shared" si="7"/>
        <v>0</v>
      </c>
      <c r="R20" s="235">
        <f t="shared" si="7"/>
        <v>0</v>
      </c>
      <c r="S20" s="235">
        <f t="shared" si="7"/>
        <v>0</v>
      </c>
      <c r="T20" s="235">
        <f t="shared" si="7"/>
        <v>0</v>
      </c>
      <c r="U20" s="235">
        <f t="shared" si="7"/>
        <v>0</v>
      </c>
      <c r="V20" s="235">
        <f t="shared" si="7"/>
        <v>0</v>
      </c>
      <c r="W20" s="235">
        <f t="shared" si="7"/>
        <v>0</v>
      </c>
      <c r="X20" s="235">
        <f t="shared" si="7"/>
        <v>0</v>
      </c>
      <c r="Y20" s="235">
        <f t="shared" si="7"/>
        <v>0</v>
      </c>
      <c r="Z20" s="235">
        <f t="shared" si="7"/>
        <v>0</v>
      </c>
      <c r="AA20" s="235">
        <f>N20+AA18-AA19</f>
        <v>0</v>
      </c>
      <c r="AB20" s="235">
        <f>AA20+AB18-AB19</f>
        <v>0</v>
      </c>
      <c r="AC20" s="235">
        <f>AB20+AC18-AC19</f>
        <v>0</v>
      </c>
      <c r="AD20" s="235">
        <f>AC20+AD18-AD19</f>
        <v>0</v>
      </c>
      <c r="AE20" s="231"/>
      <c r="AF20" s="257"/>
    </row>
    <row r="21" spans="1:32" ht="15">
      <c r="A21" s="240"/>
      <c r="B21" s="241"/>
      <c r="C21" s="241"/>
      <c r="D21" s="241"/>
      <c r="E21" s="241"/>
      <c r="F21" s="241"/>
      <c r="G21" s="241"/>
      <c r="H21" s="241"/>
      <c r="I21" s="241"/>
      <c r="J21" s="241"/>
      <c r="K21" s="241"/>
      <c r="L21" s="241"/>
      <c r="M21" s="241"/>
      <c r="N21" s="228"/>
      <c r="O21" s="241"/>
      <c r="P21" s="241"/>
      <c r="Q21" s="241"/>
      <c r="R21" s="241"/>
      <c r="S21" s="241"/>
      <c r="T21" s="241"/>
      <c r="U21" s="241"/>
      <c r="V21" s="241"/>
      <c r="W21" s="241"/>
      <c r="X21" s="241"/>
      <c r="Y21" s="241"/>
      <c r="Z21" s="241"/>
      <c r="AA21" s="228"/>
      <c r="AB21" s="241"/>
      <c r="AC21" s="241"/>
      <c r="AD21" s="241"/>
      <c r="AE21" s="199"/>
      <c r="AF21" s="200"/>
    </row>
    <row r="22" spans="1:32" ht="15">
      <c r="A22" s="232" t="s">
        <v>128</v>
      </c>
      <c r="B22" s="233">
        <v>0</v>
      </c>
      <c r="C22" s="233">
        <v>0</v>
      </c>
      <c r="D22" s="233">
        <v>0</v>
      </c>
      <c r="E22" s="233">
        <v>0</v>
      </c>
      <c r="F22" s="233">
        <v>0</v>
      </c>
      <c r="G22" s="233">
        <v>0</v>
      </c>
      <c r="H22" s="233">
        <v>0</v>
      </c>
      <c r="I22" s="233">
        <v>0</v>
      </c>
      <c r="J22" s="233">
        <v>0</v>
      </c>
      <c r="K22" s="233">
        <v>0</v>
      </c>
      <c r="L22" s="233">
        <v>0</v>
      </c>
      <c r="M22" s="233">
        <v>0</v>
      </c>
      <c r="N22" s="228">
        <f>SUM(B22:M22)</f>
        <v>0</v>
      </c>
      <c r="O22" s="233">
        <v>0</v>
      </c>
      <c r="P22" s="233">
        <v>0</v>
      </c>
      <c r="Q22" s="233">
        <v>0</v>
      </c>
      <c r="R22" s="233">
        <v>0</v>
      </c>
      <c r="S22" s="233">
        <v>0</v>
      </c>
      <c r="T22" s="233">
        <v>0</v>
      </c>
      <c r="U22" s="233">
        <v>0</v>
      </c>
      <c r="V22" s="233">
        <v>0</v>
      </c>
      <c r="W22" s="233">
        <v>0</v>
      </c>
      <c r="X22" s="233">
        <v>0</v>
      </c>
      <c r="Y22" s="233">
        <v>0</v>
      </c>
      <c r="Z22" s="233">
        <v>0</v>
      </c>
      <c r="AA22" s="228">
        <f>SUM(O22:Z22)</f>
        <v>0</v>
      </c>
      <c r="AB22" s="233">
        <v>0</v>
      </c>
      <c r="AC22" s="233">
        <v>0</v>
      </c>
      <c r="AD22" s="233">
        <v>0</v>
      </c>
      <c r="AE22" s="199"/>
      <c r="AF22" s="200"/>
    </row>
    <row r="23" spans="1:32" ht="15">
      <c r="A23" s="238"/>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199"/>
      <c r="AF23" s="200"/>
    </row>
    <row r="24" spans="1:32" ht="15">
      <c r="A24" s="238"/>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199"/>
      <c r="AF24" s="200"/>
    </row>
    <row r="25" spans="1:32" ht="15">
      <c r="A25" s="242" t="s">
        <v>143</v>
      </c>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199"/>
      <c r="AF25" s="200"/>
    </row>
    <row r="26" spans="1:32" ht="15">
      <c r="A26" s="232" t="s">
        <v>59</v>
      </c>
      <c r="B26" s="233">
        <v>0</v>
      </c>
      <c r="C26" s="233">
        <v>0</v>
      </c>
      <c r="D26" s="233">
        <v>0</v>
      </c>
      <c r="E26" s="233">
        <v>0</v>
      </c>
      <c r="F26" s="233">
        <v>0</v>
      </c>
      <c r="G26" s="233">
        <v>0</v>
      </c>
      <c r="H26" s="233">
        <v>0</v>
      </c>
      <c r="I26" s="233">
        <v>0</v>
      </c>
      <c r="J26" s="233">
        <v>0</v>
      </c>
      <c r="K26" s="233">
        <v>0</v>
      </c>
      <c r="L26" s="233">
        <v>0</v>
      </c>
      <c r="M26" s="233">
        <v>0</v>
      </c>
      <c r="N26" s="228">
        <f>SUM(B26:M26)</f>
        <v>0</v>
      </c>
      <c r="O26" s="233">
        <v>0</v>
      </c>
      <c r="P26" s="233">
        <v>0</v>
      </c>
      <c r="Q26" s="233">
        <v>0</v>
      </c>
      <c r="R26" s="233">
        <v>0</v>
      </c>
      <c r="S26" s="233">
        <v>0</v>
      </c>
      <c r="T26" s="233">
        <v>0</v>
      </c>
      <c r="U26" s="233">
        <v>0</v>
      </c>
      <c r="V26" s="233">
        <v>0</v>
      </c>
      <c r="W26" s="233">
        <v>0</v>
      </c>
      <c r="X26" s="233">
        <v>0</v>
      </c>
      <c r="Y26" s="233">
        <v>0</v>
      </c>
      <c r="Z26" s="233">
        <v>0</v>
      </c>
      <c r="AA26" s="228">
        <f>SUM(O26:Z26)</f>
        <v>0</v>
      </c>
      <c r="AB26" s="233">
        <v>0</v>
      </c>
      <c r="AC26" s="233">
        <v>0</v>
      </c>
      <c r="AD26" s="233">
        <v>0</v>
      </c>
      <c r="AE26" s="199"/>
      <c r="AF26" s="200"/>
    </row>
    <row r="27" spans="1:32" ht="15">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199"/>
      <c r="AF27" s="200"/>
    </row>
    <row r="28" spans="1:32" ht="15">
      <c r="A28" s="238"/>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199"/>
      <c r="AF28" s="200"/>
    </row>
    <row r="29" spans="1:32" s="19" customFormat="1" ht="15.75">
      <c r="A29" s="243" t="s">
        <v>131</v>
      </c>
      <c r="B29" s="243">
        <f aca="true" t="shared" si="8" ref="B29:M29">B6+B10-B11-B14+B18-B19-B22+B26</f>
        <v>30000</v>
      </c>
      <c r="C29" s="243">
        <f t="shared" si="8"/>
        <v>0</v>
      </c>
      <c r="D29" s="243">
        <f t="shared" si="8"/>
        <v>0</v>
      </c>
      <c r="E29" s="243">
        <f t="shared" si="8"/>
        <v>0</v>
      </c>
      <c r="F29" s="243">
        <f t="shared" si="8"/>
        <v>0</v>
      </c>
      <c r="G29" s="243">
        <f t="shared" si="8"/>
        <v>0</v>
      </c>
      <c r="H29" s="243">
        <f t="shared" si="8"/>
        <v>0</v>
      </c>
      <c r="I29" s="243">
        <f t="shared" si="8"/>
        <v>0</v>
      </c>
      <c r="J29" s="243">
        <f t="shared" si="8"/>
        <v>0</v>
      </c>
      <c r="K29" s="243">
        <f t="shared" si="8"/>
        <v>0</v>
      </c>
      <c r="L29" s="243">
        <f t="shared" si="8"/>
        <v>0</v>
      </c>
      <c r="M29" s="243">
        <f t="shared" si="8"/>
        <v>-2000</v>
      </c>
      <c r="N29" s="243">
        <f>SUM(B29:M29)</f>
        <v>28000</v>
      </c>
      <c r="O29" s="243">
        <f aca="true" t="shared" si="9" ref="O29:Z29">O6+O10-O11-O14+O18-O19-O22+O26</f>
        <v>5000</v>
      </c>
      <c r="P29" s="243">
        <f t="shared" si="9"/>
        <v>0</v>
      </c>
      <c r="Q29" s="243">
        <f t="shared" si="9"/>
        <v>0</v>
      </c>
      <c r="R29" s="243">
        <f t="shared" si="9"/>
        <v>0</v>
      </c>
      <c r="S29" s="243">
        <f t="shared" si="9"/>
        <v>0</v>
      </c>
      <c r="T29" s="243">
        <f t="shared" si="9"/>
        <v>0</v>
      </c>
      <c r="U29" s="243">
        <f t="shared" si="9"/>
        <v>0</v>
      </c>
      <c r="V29" s="243">
        <f t="shared" si="9"/>
        <v>0</v>
      </c>
      <c r="W29" s="243">
        <f t="shared" si="9"/>
        <v>0</v>
      </c>
      <c r="X29" s="243">
        <f t="shared" si="9"/>
        <v>0</v>
      </c>
      <c r="Y29" s="243">
        <f t="shared" si="9"/>
        <v>0</v>
      </c>
      <c r="Z29" s="243">
        <f t="shared" si="9"/>
        <v>-3000</v>
      </c>
      <c r="AA29" s="243">
        <f>SUM(O29:Z29)</f>
        <v>2000</v>
      </c>
      <c r="AB29" s="243">
        <f>AB6+AB10-AB11-AB14+AB18-AB19-AB22+AB26</f>
        <v>-5000</v>
      </c>
      <c r="AC29" s="243">
        <f>AC6+AC10-AC11-AC14+AC18-AC19-AC22+AC26</f>
        <v>-7000</v>
      </c>
      <c r="AD29" s="243">
        <f>AD6+AD10-AD11-AD14+AD18-AD19-AD22+AD26</f>
        <v>-9000</v>
      </c>
      <c r="AE29" s="244"/>
      <c r="AF29" s="263"/>
    </row>
    <row r="30" spans="1:32" ht="15">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200"/>
    </row>
    <row r="31" spans="1:32" ht="15">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200"/>
    </row>
    <row r="32" spans="1:32" ht="1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200"/>
    </row>
    <row r="33" spans="1:31" ht="12.75">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row>
    <row r="34" spans="1:31" ht="12.75">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row>
    <row r="35" spans="1:31" ht="12.75">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row>
  </sheetData>
  <sheetProtection/>
  <printOptions/>
  <pageMargins left="0.7" right="0.7" top="0.75" bottom="0.75" header="0.3" footer="0.3"/>
  <pageSetup horizontalDpi="600" verticalDpi="600" orientation="portrait"/>
  <drawing r:id="rId3"/>
  <legacyDrawing r:id="rId2"/>
</worksheet>
</file>

<file path=xl/worksheets/sheet12.xml><?xml version="1.0" encoding="utf-8"?>
<worksheet xmlns="http://schemas.openxmlformats.org/spreadsheetml/2006/main" xmlns:r="http://schemas.openxmlformats.org/officeDocument/2006/relationships">
  <sheetPr>
    <tabColor rgb="FFFF0000"/>
  </sheetPr>
  <dimension ref="A1:AE68"/>
  <sheetViews>
    <sheetView showGridLines="0" zoomScalePageLayoutView="0" workbookViewId="0" topLeftCell="A1">
      <pane xSplit="1" ySplit="1" topLeftCell="B2" activePane="bottomRight" state="frozen"/>
      <selection pane="topLeft" activeCell="G19" sqref="G19"/>
      <selection pane="topRight" activeCell="G19" sqref="G19"/>
      <selection pane="bottomLeft" activeCell="G19" sqref="G19"/>
      <selection pane="bottomRight" activeCell="A3" sqref="A3"/>
    </sheetView>
  </sheetViews>
  <sheetFormatPr defaultColWidth="9.140625" defaultRowHeight="12.75"/>
  <cols>
    <col min="1" max="1" width="42.8515625" style="0" customWidth="1"/>
    <col min="2" max="2" width="13.28125" style="0" customWidth="1"/>
    <col min="3" max="14" width="13.28125" style="0" hidden="1" customWidth="1"/>
    <col min="15" max="15" width="13.28125" style="78" hidden="1" customWidth="1"/>
    <col min="16" max="30" width="13.28125" style="0" hidden="1" customWidth="1"/>
    <col min="31" max="31" width="11.7109375" style="0" customWidth="1"/>
  </cols>
  <sheetData>
    <row r="1" spans="1:31" s="145" customFormat="1" ht="15.75" customHeight="1">
      <c r="A1" s="141" t="str">
        <f>"VALORES DE INICIO ("&amp;Introducción!E17&amp;")"</f>
        <v>VALORES DE INICIO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AA1+1</f>
        <v>2018</v>
      </c>
      <c r="AC1" s="143">
        <f>AB1+1</f>
        <v>2019</v>
      </c>
      <c r="AD1" s="143">
        <f>AC1+1</f>
        <v>2020</v>
      </c>
      <c r="AE1" s="188"/>
    </row>
    <row r="2" spans="1:31" s="145" customFormat="1" ht="15">
      <c r="A2" s="199"/>
      <c r="B2" s="199"/>
      <c r="C2" s="199"/>
      <c r="D2" s="199"/>
      <c r="E2" s="199"/>
      <c r="F2" s="199"/>
      <c r="G2" s="199"/>
      <c r="H2" s="199"/>
      <c r="I2" s="199"/>
      <c r="J2" s="199"/>
      <c r="K2" s="199"/>
      <c r="L2" s="199"/>
      <c r="M2" s="199"/>
      <c r="N2" s="199"/>
      <c r="O2" s="245"/>
      <c r="P2" s="199"/>
      <c r="Q2" s="199"/>
      <c r="R2" s="199"/>
      <c r="S2" s="199"/>
      <c r="T2" s="199"/>
      <c r="U2" s="199"/>
      <c r="V2" s="199"/>
      <c r="W2" s="199"/>
      <c r="X2" s="199"/>
      <c r="Y2" s="199"/>
      <c r="Z2" s="199"/>
      <c r="AA2" s="199"/>
      <c r="AB2" s="199"/>
      <c r="AC2" s="199"/>
      <c r="AD2" s="199"/>
      <c r="AE2" s="199"/>
    </row>
    <row r="3" spans="1:31" s="145" customFormat="1" ht="15">
      <c r="A3" s="199"/>
      <c r="B3" s="199"/>
      <c r="C3" s="199"/>
      <c r="D3" s="199"/>
      <c r="E3" s="199"/>
      <c r="F3" s="199"/>
      <c r="G3" s="199"/>
      <c r="H3" s="199"/>
      <c r="I3" s="199"/>
      <c r="J3" s="199"/>
      <c r="K3" s="199"/>
      <c r="L3" s="199"/>
      <c r="M3" s="199"/>
      <c r="N3" s="199"/>
      <c r="O3" s="245"/>
      <c r="P3" s="199"/>
      <c r="Q3" s="199"/>
      <c r="R3" s="199"/>
      <c r="S3" s="199"/>
      <c r="T3" s="199"/>
      <c r="U3" s="199"/>
      <c r="V3" s="199"/>
      <c r="W3" s="199"/>
      <c r="X3" s="199"/>
      <c r="Y3" s="199"/>
      <c r="Z3" s="199"/>
      <c r="AA3" s="199"/>
      <c r="AB3" s="199"/>
      <c r="AC3" s="199"/>
      <c r="AD3" s="199"/>
      <c r="AE3" s="199"/>
    </row>
    <row r="4" spans="1:31" s="176" customFormat="1" ht="18.75">
      <c r="A4" s="246" t="s">
        <v>72</v>
      </c>
      <c r="B4" s="247"/>
      <c r="C4" s="199"/>
      <c r="D4" s="199"/>
      <c r="E4" s="199"/>
      <c r="F4" s="199"/>
      <c r="G4" s="199"/>
      <c r="H4" s="199"/>
      <c r="I4" s="199"/>
      <c r="J4" s="199"/>
      <c r="K4" s="199"/>
      <c r="L4" s="199"/>
      <c r="M4" s="199"/>
      <c r="N4" s="199"/>
      <c r="O4" s="245"/>
      <c r="P4" s="199"/>
      <c r="Q4" s="199"/>
      <c r="R4" s="199"/>
      <c r="S4" s="199"/>
      <c r="T4" s="199"/>
      <c r="U4" s="199"/>
      <c r="V4" s="199"/>
      <c r="W4" s="199"/>
      <c r="X4" s="199"/>
      <c r="Y4" s="199"/>
      <c r="Z4" s="199"/>
      <c r="AA4" s="199"/>
      <c r="AB4" s="199"/>
      <c r="AC4" s="199"/>
      <c r="AD4" s="199"/>
      <c r="AE4" s="199"/>
    </row>
    <row r="5" spans="1:31" s="145" customFormat="1" ht="15">
      <c r="A5" s="199"/>
      <c r="B5" s="199"/>
      <c r="C5" s="199"/>
      <c r="D5" s="199"/>
      <c r="E5" s="199"/>
      <c r="F5" s="199"/>
      <c r="G5" s="199"/>
      <c r="H5" s="199"/>
      <c r="I5" s="199"/>
      <c r="J5" s="199"/>
      <c r="K5" s="199"/>
      <c r="L5" s="199"/>
      <c r="M5" s="199"/>
      <c r="N5" s="199"/>
      <c r="O5" s="245"/>
      <c r="P5" s="199"/>
      <c r="Q5" s="199"/>
      <c r="R5" s="199"/>
      <c r="S5" s="199"/>
      <c r="T5" s="199"/>
      <c r="U5" s="199"/>
      <c r="V5" s="199"/>
      <c r="W5" s="199"/>
      <c r="X5" s="199"/>
      <c r="Y5" s="199"/>
      <c r="Z5" s="199"/>
      <c r="AA5" s="199"/>
      <c r="AB5" s="199"/>
      <c r="AC5" s="199"/>
      <c r="AD5" s="199"/>
      <c r="AE5" s="199"/>
    </row>
    <row r="6" spans="1:31" s="145" customFormat="1" ht="15">
      <c r="A6" s="248" t="s">
        <v>144</v>
      </c>
      <c r="B6" s="249">
        <v>3500</v>
      </c>
      <c r="C6" s="199"/>
      <c r="D6" s="199"/>
      <c r="E6" s="199"/>
      <c r="F6" s="199"/>
      <c r="G6" s="199"/>
      <c r="H6" s="199"/>
      <c r="I6" s="199"/>
      <c r="J6" s="199"/>
      <c r="K6" s="199"/>
      <c r="L6" s="199"/>
      <c r="M6" s="199"/>
      <c r="N6" s="199"/>
      <c r="O6" s="245"/>
      <c r="P6" s="199"/>
      <c r="Q6" s="199"/>
      <c r="R6" s="199"/>
      <c r="S6" s="199"/>
      <c r="T6" s="199"/>
      <c r="U6" s="199"/>
      <c r="V6" s="199"/>
      <c r="W6" s="199"/>
      <c r="X6" s="199"/>
      <c r="Y6" s="199"/>
      <c r="Z6" s="199"/>
      <c r="AA6" s="199"/>
      <c r="AB6" s="199"/>
      <c r="AC6" s="199"/>
      <c r="AD6" s="199"/>
      <c r="AE6" s="199"/>
    </row>
    <row r="7" spans="1:31" s="145" customFormat="1" ht="15">
      <c r="A7" s="248" t="s">
        <v>101</v>
      </c>
      <c r="B7" s="249">
        <v>0</v>
      </c>
      <c r="C7" s="199"/>
      <c r="D7" s="199"/>
      <c r="E7" s="199"/>
      <c r="F7" s="199"/>
      <c r="G7" s="199"/>
      <c r="H7" s="199"/>
      <c r="I7" s="199"/>
      <c r="J7" s="199"/>
      <c r="K7" s="199"/>
      <c r="L7" s="199"/>
      <c r="M7" s="199"/>
      <c r="N7" s="199"/>
      <c r="O7" s="245"/>
      <c r="P7" s="199"/>
      <c r="Q7" s="199"/>
      <c r="R7" s="199"/>
      <c r="S7" s="199"/>
      <c r="T7" s="199"/>
      <c r="U7" s="199"/>
      <c r="V7" s="199"/>
      <c r="W7" s="199"/>
      <c r="X7" s="199"/>
      <c r="Y7" s="199"/>
      <c r="Z7" s="199"/>
      <c r="AA7" s="199"/>
      <c r="AB7" s="199"/>
      <c r="AC7" s="199"/>
      <c r="AD7" s="199"/>
      <c r="AE7" s="199"/>
    </row>
    <row r="8" spans="1:31" s="145" customFormat="1" ht="15" hidden="1">
      <c r="A8" s="248" t="s">
        <v>21</v>
      </c>
      <c r="B8" s="249">
        <v>0</v>
      </c>
      <c r="C8" s="199"/>
      <c r="D8" s="199"/>
      <c r="E8" s="199"/>
      <c r="F8" s="199"/>
      <c r="G8" s="199"/>
      <c r="H8" s="199"/>
      <c r="I8" s="199"/>
      <c r="J8" s="199"/>
      <c r="K8" s="199"/>
      <c r="L8" s="199"/>
      <c r="M8" s="199"/>
      <c r="N8" s="199"/>
      <c r="O8" s="245"/>
      <c r="P8" s="199"/>
      <c r="Q8" s="199"/>
      <c r="R8" s="199"/>
      <c r="S8" s="199"/>
      <c r="T8" s="199"/>
      <c r="U8" s="199"/>
      <c r="V8" s="199"/>
      <c r="W8" s="199"/>
      <c r="X8" s="199"/>
      <c r="Y8" s="199"/>
      <c r="Z8" s="199"/>
      <c r="AA8" s="199"/>
      <c r="AB8" s="199"/>
      <c r="AC8" s="199"/>
      <c r="AD8" s="199"/>
      <c r="AE8" s="199"/>
    </row>
    <row r="9" spans="1:31" s="145" customFormat="1" ht="15">
      <c r="A9" s="248" t="s">
        <v>213</v>
      </c>
      <c r="B9" s="249">
        <v>0</v>
      </c>
      <c r="C9" s="199"/>
      <c r="D9" s="199"/>
      <c r="E9" s="199"/>
      <c r="F9" s="199"/>
      <c r="G9" s="199"/>
      <c r="H9" s="199"/>
      <c r="I9" s="199"/>
      <c r="J9" s="199"/>
      <c r="K9" s="199"/>
      <c r="L9" s="199"/>
      <c r="M9" s="199"/>
      <c r="N9" s="199"/>
      <c r="O9" s="245"/>
      <c r="P9" s="199"/>
      <c r="Q9" s="199"/>
      <c r="R9" s="199"/>
      <c r="S9" s="199"/>
      <c r="T9" s="199"/>
      <c r="U9" s="199"/>
      <c r="V9" s="199"/>
      <c r="W9" s="199"/>
      <c r="X9" s="199"/>
      <c r="Y9" s="199"/>
      <c r="Z9" s="199"/>
      <c r="AA9" s="199"/>
      <c r="AB9" s="199"/>
      <c r="AC9" s="199"/>
      <c r="AD9" s="199"/>
      <c r="AE9" s="199"/>
    </row>
    <row r="10" spans="1:31" s="145" customFormat="1" ht="15">
      <c r="A10" s="248" t="s">
        <v>167</v>
      </c>
      <c r="B10" s="249">
        <v>0</v>
      </c>
      <c r="C10" s="199"/>
      <c r="D10" s="199"/>
      <c r="E10" s="199"/>
      <c r="F10" s="199"/>
      <c r="G10" s="199"/>
      <c r="H10" s="199"/>
      <c r="I10" s="199"/>
      <c r="J10" s="199"/>
      <c r="K10" s="199"/>
      <c r="L10" s="199"/>
      <c r="M10" s="199"/>
      <c r="N10" s="199"/>
      <c r="O10" s="245"/>
      <c r="P10" s="199"/>
      <c r="Q10" s="199"/>
      <c r="R10" s="199"/>
      <c r="S10" s="199"/>
      <c r="T10" s="199"/>
      <c r="U10" s="199"/>
      <c r="V10" s="199"/>
      <c r="W10" s="199"/>
      <c r="X10" s="199"/>
      <c r="Y10" s="199"/>
      <c r="Z10" s="199"/>
      <c r="AA10" s="199"/>
      <c r="AB10" s="199"/>
      <c r="AC10" s="199"/>
      <c r="AD10" s="199"/>
      <c r="AE10" s="199"/>
    </row>
    <row r="11" spans="1:31" s="145" customFormat="1" ht="15">
      <c r="A11" s="250" t="s">
        <v>83</v>
      </c>
      <c r="B11" s="250">
        <f>SUM(B6:B10)</f>
        <v>3500</v>
      </c>
      <c r="C11" s="199"/>
      <c r="D11" s="199"/>
      <c r="E11" s="199"/>
      <c r="F11" s="199"/>
      <c r="G11" s="199"/>
      <c r="H11" s="199"/>
      <c r="I11" s="199"/>
      <c r="J11" s="199"/>
      <c r="K11" s="199"/>
      <c r="L11" s="199"/>
      <c r="M11" s="199"/>
      <c r="N11" s="199"/>
      <c r="O11" s="245"/>
      <c r="P11" s="199"/>
      <c r="Q11" s="199"/>
      <c r="R11" s="199"/>
      <c r="S11" s="199"/>
      <c r="T11" s="199"/>
      <c r="U11" s="199"/>
      <c r="V11" s="199"/>
      <c r="W11" s="199"/>
      <c r="X11" s="199"/>
      <c r="Y11" s="199"/>
      <c r="Z11" s="199"/>
      <c r="AA11" s="199"/>
      <c r="AB11" s="199"/>
      <c r="AC11" s="199"/>
      <c r="AD11" s="199"/>
      <c r="AE11" s="199"/>
    </row>
    <row r="12" spans="1:31" s="145" customFormat="1" ht="15">
      <c r="A12" s="248"/>
      <c r="B12" s="248"/>
      <c r="C12" s="199"/>
      <c r="D12" s="199"/>
      <c r="E12" s="199"/>
      <c r="F12" s="199"/>
      <c r="G12" s="199"/>
      <c r="H12" s="199"/>
      <c r="I12" s="199"/>
      <c r="J12" s="199"/>
      <c r="K12" s="199"/>
      <c r="L12" s="199"/>
      <c r="M12" s="199"/>
      <c r="N12" s="199"/>
      <c r="O12" s="245"/>
      <c r="P12" s="199"/>
      <c r="Q12" s="199"/>
      <c r="R12" s="199"/>
      <c r="S12" s="199"/>
      <c r="T12" s="199"/>
      <c r="U12" s="199"/>
      <c r="V12" s="199"/>
      <c r="W12" s="199"/>
      <c r="X12" s="199"/>
      <c r="Y12" s="199"/>
      <c r="Z12" s="199"/>
      <c r="AA12" s="199"/>
      <c r="AB12" s="199"/>
      <c r="AC12" s="199"/>
      <c r="AD12" s="199"/>
      <c r="AE12" s="199"/>
    </row>
    <row r="13" spans="1:31" s="145" customFormat="1" ht="15">
      <c r="A13" s="248" t="s">
        <v>70</v>
      </c>
      <c r="B13" s="249">
        <v>5500</v>
      </c>
      <c r="C13" s="199"/>
      <c r="D13" s="199"/>
      <c r="E13" s="199"/>
      <c r="F13" s="199"/>
      <c r="G13" s="199"/>
      <c r="H13" s="199"/>
      <c r="I13" s="199"/>
      <c r="J13" s="199"/>
      <c r="K13" s="199"/>
      <c r="L13" s="199"/>
      <c r="M13" s="199"/>
      <c r="N13" s="199"/>
      <c r="O13" s="245"/>
      <c r="P13" s="199"/>
      <c r="Q13" s="199"/>
      <c r="R13" s="199"/>
      <c r="S13" s="199"/>
      <c r="T13" s="199"/>
      <c r="U13" s="199"/>
      <c r="V13" s="199"/>
      <c r="W13" s="199"/>
      <c r="X13" s="199"/>
      <c r="Y13" s="199"/>
      <c r="Z13" s="199"/>
      <c r="AA13" s="199"/>
      <c r="AB13" s="199"/>
      <c r="AC13" s="199"/>
      <c r="AD13" s="199"/>
      <c r="AE13" s="199"/>
    </row>
    <row r="14" spans="1:31" s="145" customFormat="1" ht="15">
      <c r="A14" s="251" t="s">
        <v>185</v>
      </c>
      <c r="B14" s="249">
        <v>750</v>
      </c>
      <c r="C14" s="199"/>
      <c r="D14" s="199"/>
      <c r="E14" s="199"/>
      <c r="F14" s="199"/>
      <c r="G14" s="199"/>
      <c r="H14" s="199"/>
      <c r="I14" s="199"/>
      <c r="J14" s="199"/>
      <c r="K14" s="199"/>
      <c r="L14" s="199"/>
      <c r="M14" s="199"/>
      <c r="N14" s="199"/>
      <c r="O14" s="245"/>
      <c r="P14" s="199"/>
      <c r="Q14" s="199"/>
      <c r="R14" s="199"/>
      <c r="S14" s="199"/>
      <c r="T14" s="199"/>
      <c r="U14" s="199"/>
      <c r="V14" s="199"/>
      <c r="W14" s="199"/>
      <c r="X14" s="199"/>
      <c r="Y14" s="199"/>
      <c r="Z14" s="199"/>
      <c r="AA14" s="199"/>
      <c r="AB14" s="199"/>
      <c r="AC14" s="199"/>
      <c r="AD14" s="199"/>
      <c r="AE14" s="199"/>
    </row>
    <row r="15" spans="1:31" s="145" customFormat="1" ht="15">
      <c r="A15" s="250" t="s">
        <v>100</v>
      </c>
      <c r="B15" s="250">
        <f>B13-B14</f>
        <v>4750</v>
      </c>
      <c r="C15" s="199"/>
      <c r="D15" s="199"/>
      <c r="E15" s="199"/>
      <c r="F15" s="199"/>
      <c r="G15" s="199"/>
      <c r="H15" s="199"/>
      <c r="I15" s="199"/>
      <c r="J15" s="199"/>
      <c r="K15" s="199"/>
      <c r="L15" s="199"/>
      <c r="M15" s="199"/>
      <c r="N15" s="199"/>
      <c r="O15" s="245"/>
      <c r="P15" s="199"/>
      <c r="Q15" s="199"/>
      <c r="R15" s="199"/>
      <c r="S15" s="199"/>
      <c r="T15" s="199"/>
      <c r="U15" s="199"/>
      <c r="V15" s="199"/>
      <c r="W15" s="199"/>
      <c r="X15" s="199"/>
      <c r="Y15" s="199"/>
      <c r="Z15" s="199"/>
      <c r="AA15" s="199"/>
      <c r="AB15" s="199"/>
      <c r="AC15" s="199"/>
      <c r="AD15" s="199"/>
      <c r="AE15" s="199"/>
    </row>
    <row r="16" spans="1:31" s="145" customFormat="1" ht="15">
      <c r="A16" s="146" t="s">
        <v>69</v>
      </c>
      <c r="B16" s="146">
        <f>B11+B15</f>
        <v>8250</v>
      </c>
      <c r="C16" s="199"/>
      <c r="D16" s="199"/>
      <c r="E16" s="199"/>
      <c r="F16" s="199"/>
      <c r="G16" s="199"/>
      <c r="H16" s="199"/>
      <c r="I16" s="199"/>
      <c r="J16" s="199"/>
      <c r="K16" s="199"/>
      <c r="L16" s="199"/>
      <c r="M16" s="199"/>
      <c r="N16" s="199"/>
      <c r="O16" s="245"/>
      <c r="P16" s="199"/>
      <c r="Q16" s="199"/>
      <c r="R16" s="199"/>
      <c r="S16" s="199"/>
      <c r="T16" s="199"/>
      <c r="U16" s="199"/>
      <c r="V16" s="199"/>
      <c r="W16" s="199"/>
      <c r="X16" s="199"/>
      <c r="Y16" s="199"/>
      <c r="Z16" s="199"/>
      <c r="AA16" s="199"/>
      <c r="AB16" s="199"/>
      <c r="AC16" s="199"/>
      <c r="AD16" s="199"/>
      <c r="AE16" s="199"/>
    </row>
    <row r="17" spans="1:31" s="145" customFormat="1" ht="15">
      <c r="A17" s="252"/>
      <c r="B17" s="215"/>
      <c r="C17" s="199"/>
      <c r="D17" s="199"/>
      <c r="E17" s="199"/>
      <c r="F17" s="199"/>
      <c r="G17" s="199"/>
      <c r="H17" s="199"/>
      <c r="I17" s="199"/>
      <c r="J17" s="199"/>
      <c r="K17" s="199"/>
      <c r="L17" s="199"/>
      <c r="M17" s="199"/>
      <c r="N17" s="199"/>
      <c r="O17" s="245"/>
      <c r="P17" s="199"/>
      <c r="Q17" s="199"/>
      <c r="R17" s="199"/>
      <c r="S17" s="199"/>
      <c r="T17" s="199"/>
      <c r="U17" s="199"/>
      <c r="V17" s="199"/>
      <c r="W17" s="199"/>
      <c r="X17" s="199"/>
      <c r="Y17" s="199"/>
      <c r="Z17" s="199"/>
      <c r="AA17" s="199"/>
      <c r="AB17" s="199"/>
      <c r="AC17" s="199"/>
      <c r="AD17" s="199"/>
      <c r="AE17" s="199"/>
    </row>
    <row r="18" spans="1:31" s="145" customFormat="1" ht="15">
      <c r="A18" s="248" t="s">
        <v>120</v>
      </c>
      <c r="B18" s="249">
        <v>0</v>
      </c>
      <c r="C18" s="199"/>
      <c r="D18" s="199"/>
      <c r="E18" s="199"/>
      <c r="F18" s="199"/>
      <c r="G18" s="199"/>
      <c r="H18" s="199"/>
      <c r="I18" s="199"/>
      <c r="J18" s="199"/>
      <c r="K18" s="199"/>
      <c r="L18" s="199"/>
      <c r="M18" s="199"/>
      <c r="N18" s="199"/>
      <c r="O18" s="245"/>
      <c r="P18" s="199"/>
      <c r="Q18" s="199"/>
      <c r="R18" s="199"/>
      <c r="S18" s="199"/>
      <c r="T18" s="199"/>
      <c r="U18" s="199"/>
      <c r="V18" s="199"/>
      <c r="W18" s="199"/>
      <c r="X18" s="199"/>
      <c r="Y18" s="199"/>
      <c r="Z18" s="199"/>
      <c r="AA18" s="199"/>
      <c r="AB18" s="199"/>
      <c r="AC18" s="199"/>
      <c r="AD18" s="199"/>
      <c r="AE18" s="199"/>
    </row>
    <row r="19" spans="1:31" s="145" customFormat="1" ht="15">
      <c r="A19" s="248" t="s">
        <v>34</v>
      </c>
      <c r="B19" s="249">
        <v>0</v>
      </c>
      <c r="C19" s="199"/>
      <c r="D19" s="199"/>
      <c r="E19" s="199"/>
      <c r="F19" s="199"/>
      <c r="G19" s="199"/>
      <c r="H19" s="199"/>
      <c r="I19" s="199"/>
      <c r="J19" s="199"/>
      <c r="K19" s="199"/>
      <c r="L19" s="199"/>
      <c r="M19" s="199"/>
      <c r="N19" s="199"/>
      <c r="O19" s="245"/>
      <c r="P19" s="199"/>
      <c r="Q19" s="199"/>
      <c r="R19" s="199"/>
      <c r="S19" s="199"/>
      <c r="T19" s="199"/>
      <c r="U19" s="199"/>
      <c r="V19" s="199"/>
      <c r="W19" s="199"/>
      <c r="X19" s="199"/>
      <c r="Y19" s="199"/>
      <c r="Z19" s="199"/>
      <c r="AA19" s="199"/>
      <c r="AB19" s="199"/>
      <c r="AC19" s="199"/>
      <c r="AD19" s="199"/>
      <c r="AE19" s="199"/>
    </row>
    <row r="20" spans="1:31" s="145" customFormat="1" ht="15">
      <c r="A20" s="250" t="s">
        <v>207</v>
      </c>
      <c r="B20" s="250">
        <f>SUM(B18:B19)</f>
        <v>0</v>
      </c>
      <c r="C20" s="199"/>
      <c r="D20" s="199"/>
      <c r="E20" s="199"/>
      <c r="F20" s="199"/>
      <c r="G20" s="199"/>
      <c r="H20" s="199"/>
      <c r="I20" s="199"/>
      <c r="J20" s="199"/>
      <c r="K20" s="199"/>
      <c r="L20" s="199"/>
      <c r="M20" s="199"/>
      <c r="N20" s="199"/>
      <c r="O20" s="245"/>
      <c r="P20" s="199"/>
      <c r="Q20" s="199"/>
      <c r="R20" s="199"/>
      <c r="S20" s="199"/>
      <c r="T20" s="199"/>
      <c r="U20" s="199"/>
      <c r="V20" s="199"/>
      <c r="W20" s="199"/>
      <c r="X20" s="199"/>
      <c r="Y20" s="199"/>
      <c r="Z20" s="199"/>
      <c r="AA20" s="199"/>
      <c r="AB20" s="199"/>
      <c r="AC20" s="199"/>
      <c r="AD20" s="199"/>
      <c r="AE20" s="199"/>
    </row>
    <row r="21" spans="1:31" s="145" customFormat="1" ht="15">
      <c r="A21" s="248"/>
      <c r="B21" s="248"/>
      <c r="C21" s="199"/>
      <c r="D21" s="199"/>
      <c r="E21" s="199"/>
      <c r="F21" s="199"/>
      <c r="G21" s="199"/>
      <c r="H21" s="199"/>
      <c r="I21" s="199"/>
      <c r="J21" s="199"/>
      <c r="K21" s="199"/>
      <c r="L21" s="199"/>
      <c r="M21" s="199"/>
      <c r="N21" s="199"/>
      <c r="O21" s="245"/>
      <c r="P21" s="199"/>
      <c r="Q21" s="199"/>
      <c r="R21" s="199"/>
      <c r="S21" s="199"/>
      <c r="T21" s="199"/>
      <c r="U21" s="199"/>
      <c r="V21" s="199"/>
      <c r="W21" s="199"/>
      <c r="X21" s="199"/>
      <c r="Y21" s="199"/>
      <c r="Z21" s="199"/>
      <c r="AA21" s="199"/>
      <c r="AB21" s="199"/>
      <c r="AC21" s="199"/>
      <c r="AD21" s="199"/>
      <c r="AE21" s="199"/>
    </row>
    <row r="22" spans="1:31" s="145" customFormat="1" ht="15">
      <c r="A22" s="248" t="s">
        <v>19</v>
      </c>
      <c r="B22" s="249">
        <v>0</v>
      </c>
      <c r="C22" s="199"/>
      <c r="D22" s="199"/>
      <c r="E22" s="199"/>
      <c r="F22" s="199"/>
      <c r="G22" s="199"/>
      <c r="H22" s="199"/>
      <c r="I22" s="199"/>
      <c r="J22" s="199"/>
      <c r="K22" s="199"/>
      <c r="L22" s="199"/>
      <c r="M22" s="199"/>
      <c r="N22" s="199"/>
      <c r="O22" s="245"/>
      <c r="P22" s="199"/>
      <c r="Q22" s="199"/>
      <c r="R22" s="199"/>
      <c r="S22" s="199"/>
      <c r="T22" s="199"/>
      <c r="U22" s="199"/>
      <c r="V22" s="199"/>
      <c r="W22" s="199"/>
      <c r="X22" s="199"/>
      <c r="Y22" s="199"/>
      <c r="Z22" s="199"/>
      <c r="AA22" s="199"/>
      <c r="AB22" s="199"/>
      <c r="AC22" s="199"/>
      <c r="AD22" s="199"/>
      <c r="AE22" s="199"/>
    </row>
    <row r="23" spans="1:31" s="145" customFormat="1" ht="15">
      <c r="A23" s="250" t="s">
        <v>209</v>
      </c>
      <c r="B23" s="250">
        <f>B22</f>
        <v>0</v>
      </c>
      <c r="C23" s="199"/>
      <c r="D23" s="199"/>
      <c r="E23" s="199"/>
      <c r="F23" s="199"/>
      <c r="G23" s="199"/>
      <c r="H23" s="199"/>
      <c r="I23" s="199"/>
      <c r="J23" s="199"/>
      <c r="K23" s="199"/>
      <c r="L23" s="199"/>
      <c r="M23" s="199"/>
      <c r="N23" s="199"/>
      <c r="O23" s="245"/>
      <c r="P23" s="199"/>
      <c r="Q23" s="199"/>
      <c r="R23" s="199"/>
      <c r="S23" s="199"/>
      <c r="T23" s="199"/>
      <c r="U23" s="199"/>
      <c r="V23" s="199"/>
      <c r="W23" s="199"/>
      <c r="X23" s="199"/>
      <c r="Y23" s="199"/>
      <c r="Z23" s="199"/>
      <c r="AA23" s="199"/>
      <c r="AB23" s="199"/>
      <c r="AC23" s="199"/>
      <c r="AD23" s="199"/>
      <c r="AE23" s="199"/>
    </row>
    <row r="24" spans="1:31" s="145" customFormat="1" ht="15">
      <c r="A24" s="248"/>
      <c r="B24" s="248"/>
      <c r="C24" s="199"/>
      <c r="D24" s="199"/>
      <c r="E24" s="199"/>
      <c r="F24" s="199"/>
      <c r="G24" s="199"/>
      <c r="H24" s="199"/>
      <c r="I24" s="199"/>
      <c r="J24" s="199"/>
      <c r="K24" s="199"/>
      <c r="L24" s="199"/>
      <c r="M24" s="199"/>
      <c r="N24" s="199"/>
      <c r="O24" s="245"/>
      <c r="P24" s="199"/>
      <c r="Q24" s="199"/>
      <c r="R24" s="199"/>
      <c r="S24" s="199"/>
      <c r="T24" s="199"/>
      <c r="U24" s="199"/>
      <c r="V24" s="199"/>
      <c r="W24" s="199"/>
      <c r="X24" s="199"/>
      <c r="Y24" s="199"/>
      <c r="Z24" s="199"/>
      <c r="AA24" s="199"/>
      <c r="AB24" s="199"/>
      <c r="AC24" s="199"/>
      <c r="AD24" s="199"/>
      <c r="AE24" s="199"/>
    </row>
    <row r="25" spans="1:31" s="145" customFormat="1" ht="15">
      <c r="A25" s="248" t="s">
        <v>201</v>
      </c>
      <c r="B25" s="249">
        <v>5500</v>
      </c>
      <c r="C25" s="199"/>
      <c r="D25" s="199"/>
      <c r="E25" s="199"/>
      <c r="F25" s="199"/>
      <c r="G25" s="199"/>
      <c r="H25" s="199"/>
      <c r="I25" s="199"/>
      <c r="J25" s="199"/>
      <c r="K25" s="199"/>
      <c r="L25" s="199"/>
      <c r="M25" s="199"/>
      <c r="N25" s="199"/>
      <c r="O25" s="245"/>
      <c r="P25" s="199"/>
      <c r="Q25" s="199"/>
      <c r="R25" s="199"/>
      <c r="S25" s="199"/>
      <c r="T25" s="199"/>
      <c r="U25" s="199"/>
      <c r="V25" s="199"/>
      <c r="W25" s="199"/>
      <c r="X25" s="199"/>
      <c r="Y25" s="199"/>
      <c r="Z25" s="199"/>
      <c r="AA25" s="199"/>
      <c r="AB25" s="199"/>
      <c r="AC25" s="199"/>
      <c r="AD25" s="199"/>
      <c r="AE25" s="199"/>
    </row>
    <row r="26" spans="1:31" s="145" customFormat="1" ht="15">
      <c r="A26" s="248" t="s">
        <v>45</v>
      </c>
      <c r="B26" s="249">
        <v>0</v>
      </c>
      <c r="C26" s="199"/>
      <c r="D26" s="199"/>
      <c r="E26" s="199"/>
      <c r="F26" s="199"/>
      <c r="G26" s="199"/>
      <c r="H26" s="199"/>
      <c r="I26" s="199"/>
      <c r="J26" s="199"/>
      <c r="K26" s="199"/>
      <c r="L26" s="199"/>
      <c r="M26" s="199"/>
      <c r="N26" s="199"/>
      <c r="O26" s="245"/>
      <c r="P26" s="199"/>
      <c r="Q26" s="199"/>
      <c r="R26" s="199"/>
      <c r="S26" s="199"/>
      <c r="T26" s="199"/>
      <c r="U26" s="199"/>
      <c r="V26" s="199"/>
      <c r="W26" s="199"/>
      <c r="X26" s="199"/>
      <c r="Y26" s="199"/>
      <c r="Z26" s="199"/>
      <c r="AA26" s="199"/>
      <c r="AB26" s="199"/>
      <c r="AC26" s="199"/>
      <c r="AD26" s="199"/>
      <c r="AE26" s="199"/>
    </row>
    <row r="27" spans="1:31" s="145" customFormat="1" ht="15">
      <c r="A27" s="248" t="s">
        <v>205</v>
      </c>
      <c r="B27" s="253">
        <f>B16-B20-B23-B25-B26</f>
        <v>2750</v>
      </c>
      <c r="C27" s="199"/>
      <c r="D27" s="199"/>
      <c r="E27" s="199"/>
      <c r="F27" s="199"/>
      <c r="G27" s="199"/>
      <c r="H27" s="199"/>
      <c r="I27" s="199"/>
      <c r="J27" s="199"/>
      <c r="K27" s="199"/>
      <c r="L27" s="199"/>
      <c r="M27" s="199"/>
      <c r="N27" s="199"/>
      <c r="O27" s="245"/>
      <c r="P27" s="199"/>
      <c r="Q27" s="199"/>
      <c r="R27" s="199"/>
      <c r="S27" s="199"/>
      <c r="T27" s="199"/>
      <c r="U27" s="199"/>
      <c r="V27" s="199"/>
      <c r="W27" s="199"/>
      <c r="X27" s="199"/>
      <c r="Y27" s="199"/>
      <c r="Z27" s="199"/>
      <c r="AA27" s="199"/>
      <c r="AB27" s="199"/>
      <c r="AC27" s="199"/>
      <c r="AD27" s="199"/>
      <c r="AE27" s="199"/>
    </row>
    <row r="28" spans="1:31" s="145" customFormat="1" ht="15">
      <c r="A28" s="250" t="s">
        <v>105</v>
      </c>
      <c r="B28" s="250">
        <f>SUM(B25:B27)</f>
        <v>8250</v>
      </c>
      <c r="C28" s="199"/>
      <c r="D28" s="199"/>
      <c r="E28" s="199"/>
      <c r="F28" s="199"/>
      <c r="G28" s="199"/>
      <c r="H28" s="199"/>
      <c r="I28" s="199"/>
      <c r="J28" s="199"/>
      <c r="K28" s="199"/>
      <c r="L28" s="199"/>
      <c r="M28" s="199"/>
      <c r="N28" s="199"/>
      <c r="O28" s="245"/>
      <c r="P28" s="199"/>
      <c r="Q28" s="199"/>
      <c r="R28" s="199"/>
      <c r="S28" s="199"/>
      <c r="T28" s="199"/>
      <c r="U28" s="199"/>
      <c r="V28" s="199"/>
      <c r="W28" s="199"/>
      <c r="X28" s="199"/>
      <c r="Y28" s="199"/>
      <c r="Z28" s="199"/>
      <c r="AA28" s="199"/>
      <c r="AB28" s="199"/>
      <c r="AC28" s="199"/>
      <c r="AD28" s="199"/>
      <c r="AE28" s="199"/>
    </row>
    <row r="29" spans="1:31" s="145" customFormat="1" ht="15">
      <c r="A29" s="146" t="s">
        <v>177</v>
      </c>
      <c r="B29" s="146">
        <f>B20+B23+B28</f>
        <v>8250</v>
      </c>
      <c r="C29" s="199"/>
      <c r="D29" s="199"/>
      <c r="E29" s="199"/>
      <c r="F29" s="199"/>
      <c r="G29" s="199"/>
      <c r="H29" s="199"/>
      <c r="I29" s="199"/>
      <c r="J29" s="199"/>
      <c r="K29" s="199"/>
      <c r="L29" s="199"/>
      <c r="M29" s="199"/>
      <c r="N29" s="199"/>
      <c r="O29" s="245"/>
      <c r="P29" s="199"/>
      <c r="Q29" s="199"/>
      <c r="R29" s="199"/>
      <c r="S29" s="199"/>
      <c r="T29" s="199"/>
      <c r="U29" s="199"/>
      <c r="V29" s="199"/>
      <c r="W29" s="199"/>
      <c r="X29" s="199"/>
      <c r="Y29" s="199"/>
      <c r="Z29" s="199"/>
      <c r="AA29" s="199"/>
      <c r="AB29" s="199"/>
      <c r="AC29" s="199"/>
      <c r="AD29" s="199"/>
      <c r="AE29" s="199"/>
    </row>
    <row r="30" spans="1:31" s="177" customFormat="1" ht="15">
      <c r="A30" s="254"/>
      <c r="B30" s="255"/>
      <c r="C30" s="211"/>
      <c r="D30" s="211"/>
      <c r="E30" s="211"/>
      <c r="F30" s="211"/>
      <c r="G30" s="211"/>
      <c r="H30" s="211"/>
      <c r="I30" s="211"/>
      <c r="J30" s="211"/>
      <c r="K30" s="211"/>
      <c r="L30" s="211"/>
      <c r="M30" s="211"/>
      <c r="N30" s="211"/>
      <c r="O30" s="256"/>
      <c r="P30" s="211"/>
      <c r="Q30" s="211"/>
      <c r="R30" s="211"/>
      <c r="S30" s="211"/>
      <c r="T30" s="211"/>
      <c r="U30" s="211"/>
      <c r="V30" s="211"/>
      <c r="W30" s="211"/>
      <c r="X30" s="211"/>
      <c r="Y30" s="211"/>
      <c r="Z30" s="211"/>
      <c r="AA30" s="211"/>
      <c r="AB30" s="211"/>
      <c r="AC30" s="211"/>
      <c r="AD30" s="211"/>
      <c r="AE30" s="211"/>
    </row>
    <row r="31" spans="1:31" s="177" customFormat="1" ht="15">
      <c r="A31" s="254"/>
      <c r="B31" s="255"/>
      <c r="C31" s="211"/>
      <c r="D31" s="211"/>
      <c r="E31" s="211"/>
      <c r="F31" s="211"/>
      <c r="G31" s="211"/>
      <c r="H31" s="211"/>
      <c r="I31" s="211"/>
      <c r="J31" s="211"/>
      <c r="K31" s="211"/>
      <c r="L31" s="211"/>
      <c r="M31" s="211"/>
      <c r="N31" s="211"/>
      <c r="O31" s="256"/>
      <c r="P31" s="211"/>
      <c r="Q31" s="211"/>
      <c r="R31" s="211"/>
      <c r="S31" s="211"/>
      <c r="T31" s="211"/>
      <c r="U31" s="211"/>
      <c r="V31" s="211"/>
      <c r="W31" s="211"/>
      <c r="X31" s="211"/>
      <c r="Y31" s="211"/>
      <c r="Z31" s="211"/>
      <c r="AA31" s="211"/>
      <c r="AB31" s="211"/>
      <c r="AC31" s="211"/>
      <c r="AD31" s="211"/>
      <c r="AE31" s="211"/>
    </row>
    <row r="32" spans="1:31" ht="15">
      <c r="A32" s="199"/>
      <c r="B32" s="199"/>
      <c r="C32" s="199"/>
      <c r="D32" s="199"/>
      <c r="E32" s="199"/>
      <c r="F32" s="199"/>
      <c r="G32" s="199"/>
      <c r="H32" s="199"/>
      <c r="I32" s="199"/>
      <c r="J32" s="199"/>
      <c r="K32" s="199"/>
      <c r="L32" s="199"/>
      <c r="M32" s="199"/>
      <c r="N32" s="199"/>
      <c r="O32" s="245"/>
      <c r="P32" s="199"/>
      <c r="Q32" s="199"/>
      <c r="R32" s="199"/>
      <c r="S32" s="199"/>
      <c r="T32" s="199"/>
      <c r="U32" s="199"/>
      <c r="V32" s="199"/>
      <c r="W32" s="199"/>
      <c r="X32" s="199"/>
      <c r="Y32" s="199"/>
      <c r="Z32" s="199"/>
      <c r="AA32" s="199"/>
      <c r="AB32" s="199"/>
      <c r="AC32" s="199"/>
      <c r="AD32" s="199"/>
      <c r="AE32" s="199"/>
    </row>
    <row r="33" spans="1:31" s="116" customFormat="1" ht="18" hidden="1">
      <c r="A33" s="246" t="s">
        <v>28</v>
      </c>
      <c r="B33" s="247"/>
      <c r="C33" s="199"/>
      <c r="D33" s="199"/>
      <c r="E33" s="199"/>
      <c r="F33" s="199"/>
      <c r="G33" s="199"/>
      <c r="H33" s="199"/>
      <c r="I33" s="199"/>
      <c r="J33" s="199"/>
      <c r="K33" s="199"/>
      <c r="L33" s="199"/>
      <c r="M33" s="199"/>
      <c r="N33" s="199"/>
      <c r="O33" s="245"/>
      <c r="P33" s="199"/>
      <c r="Q33" s="199"/>
      <c r="R33" s="199"/>
      <c r="S33" s="199"/>
      <c r="T33" s="199"/>
      <c r="U33" s="199"/>
      <c r="V33" s="199"/>
      <c r="W33" s="199"/>
      <c r="X33" s="199"/>
      <c r="Y33" s="199"/>
      <c r="Z33" s="199"/>
      <c r="AA33" s="199"/>
      <c r="AB33" s="199"/>
      <c r="AC33" s="199"/>
      <c r="AD33" s="199"/>
      <c r="AE33" s="199"/>
    </row>
    <row r="34" spans="1:31" ht="15" hidden="1">
      <c r="A34" s="199"/>
      <c r="B34" s="199"/>
      <c r="C34" s="199"/>
      <c r="D34" s="199"/>
      <c r="E34" s="199"/>
      <c r="F34" s="199"/>
      <c r="G34" s="199"/>
      <c r="H34" s="199"/>
      <c r="I34" s="199"/>
      <c r="J34" s="199"/>
      <c r="K34" s="199"/>
      <c r="L34" s="199"/>
      <c r="M34" s="199"/>
      <c r="N34" s="199"/>
      <c r="O34" s="245"/>
      <c r="P34" s="199"/>
      <c r="Q34" s="199"/>
      <c r="R34" s="199"/>
      <c r="S34" s="199"/>
      <c r="T34" s="199"/>
      <c r="U34" s="199"/>
      <c r="V34" s="199"/>
      <c r="W34" s="199"/>
      <c r="X34" s="199"/>
      <c r="Y34" s="199"/>
      <c r="Z34" s="199"/>
      <c r="AA34" s="199"/>
      <c r="AB34" s="199"/>
      <c r="AC34" s="199"/>
      <c r="AD34" s="199"/>
      <c r="AE34" s="199"/>
    </row>
    <row r="35" spans="1:31" ht="15" hidden="1">
      <c r="A35" s="231" t="s">
        <v>101</v>
      </c>
      <c r="B35" s="199"/>
      <c r="C35" s="199"/>
      <c r="D35" s="199"/>
      <c r="E35" s="199"/>
      <c r="F35" s="199"/>
      <c r="G35" s="199"/>
      <c r="H35" s="199"/>
      <c r="I35" s="199"/>
      <c r="J35" s="199"/>
      <c r="K35" s="199"/>
      <c r="L35" s="199"/>
      <c r="M35" s="199"/>
      <c r="N35" s="199"/>
      <c r="O35" s="245"/>
      <c r="P35" s="199"/>
      <c r="Q35" s="199"/>
      <c r="R35" s="199"/>
      <c r="S35" s="199"/>
      <c r="T35" s="199"/>
      <c r="U35" s="199"/>
      <c r="V35" s="199"/>
      <c r="W35" s="199"/>
      <c r="X35" s="199"/>
      <c r="Y35" s="199"/>
      <c r="Z35" s="199"/>
      <c r="AA35" s="199"/>
      <c r="AB35" s="199"/>
      <c r="AC35" s="199"/>
      <c r="AD35" s="199"/>
      <c r="AE35" s="199"/>
    </row>
    <row r="36" spans="1:31" ht="15" hidden="1">
      <c r="A36" s="258" t="s">
        <v>168</v>
      </c>
      <c r="B36" s="259">
        <f>B7</f>
        <v>0</v>
      </c>
      <c r="C36" s="199"/>
      <c r="D36" s="199"/>
      <c r="E36" s="199"/>
      <c r="F36" s="199"/>
      <c r="G36" s="199"/>
      <c r="H36" s="199"/>
      <c r="I36" s="199"/>
      <c r="J36" s="199"/>
      <c r="K36" s="199"/>
      <c r="L36" s="199"/>
      <c r="M36" s="199"/>
      <c r="N36" s="199"/>
      <c r="O36" s="245"/>
      <c r="P36" s="199"/>
      <c r="Q36" s="199"/>
      <c r="R36" s="199"/>
      <c r="S36" s="199"/>
      <c r="T36" s="199"/>
      <c r="U36" s="199"/>
      <c r="V36" s="199"/>
      <c r="W36" s="199"/>
      <c r="X36" s="199"/>
      <c r="Y36" s="199"/>
      <c r="Z36" s="199"/>
      <c r="AA36" s="199"/>
      <c r="AB36" s="199"/>
      <c r="AC36" s="199"/>
      <c r="AD36" s="199"/>
      <c r="AE36" s="199"/>
    </row>
    <row r="37" spans="1:31" ht="15" hidden="1">
      <c r="A37" s="258" t="s">
        <v>157</v>
      </c>
      <c r="B37" s="249">
        <v>0</v>
      </c>
      <c r="C37" s="249">
        <v>0</v>
      </c>
      <c r="D37" s="249">
        <v>0</v>
      </c>
      <c r="E37" s="249">
        <v>0</v>
      </c>
      <c r="F37" s="249">
        <v>0</v>
      </c>
      <c r="G37" s="249">
        <v>0</v>
      </c>
      <c r="H37" s="249">
        <v>0</v>
      </c>
      <c r="I37" s="249">
        <v>0</v>
      </c>
      <c r="J37" s="249">
        <v>0</v>
      </c>
      <c r="K37" s="249">
        <v>0</v>
      </c>
      <c r="L37" s="249">
        <v>0</v>
      </c>
      <c r="M37" s="249">
        <v>0</v>
      </c>
      <c r="N37" s="260">
        <f>SUM(B37:M37)</f>
        <v>0</v>
      </c>
      <c r="O37" s="249">
        <v>0</v>
      </c>
      <c r="P37" s="249">
        <v>0</v>
      </c>
      <c r="Q37" s="249">
        <v>0</v>
      </c>
      <c r="R37" s="249">
        <v>0</v>
      </c>
      <c r="S37" s="249">
        <v>0</v>
      </c>
      <c r="T37" s="249">
        <v>0</v>
      </c>
      <c r="U37" s="249">
        <v>0</v>
      </c>
      <c r="V37" s="249">
        <v>0</v>
      </c>
      <c r="W37" s="249">
        <v>0</v>
      </c>
      <c r="X37" s="249">
        <v>0</v>
      </c>
      <c r="Y37" s="249">
        <v>0</v>
      </c>
      <c r="Z37" s="249">
        <v>0</v>
      </c>
      <c r="AA37" s="260">
        <f>SUM(O37:Z37)</f>
        <v>0</v>
      </c>
      <c r="AB37" s="249">
        <v>0</v>
      </c>
      <c r="AC37" s="249">
        <v>0</v>
      </c>
      <c r="AD37" s="249">
        <v>0</v>
      </c>
      <c r="AE37" s="199"/>
    </row>
    <row r="38" spans="1:31" ht="15" hidden="1">
      <c r="A38" s="258" t="s">
        <v>134</v>
      </c>
      <c r="B38" s="259">
        <f>B36-B37</f>
        <v>0</v>
      </c>
      <c r="C38" s="259">
        <f aca="true" t="shared" si="2" ref="C38:M38">B38-C37</f>
        <v>0</v>
      </c>
      <c r="D38" s="259">
        <f t="shared" si="2"/>
        <v>0</v>
      </c>
      <c r="E38" s="259">
        <f t="shared" si="2"/>
        <v>0</v>
      </c>
      <c r="F38" s="259">
        <f t="shared" si="2"/>
        <v>0</v>
      </c>
      <c r="G38" s="259">
        <f t="shared" si="2"/>
        <v>0</v>
      </c>
      <c r="H38" s="259">
        <f t="shared" si="2"/>
        <v>0</v>
      </c>
      <c r="I38" s="259">
        <f t="shared" si="2"/>
        <v>0</v>
      </c>
      <c r="J38" s="259">
        <f t="shared" si="2"/>
        <v>0</v>
      </c>
      <c r="K38" s="259">
        <f t="shared" si="2"/>
        <v>0</v>
      </c>
      <c r="L38" s="259">
        <f t="shared" si="2"/>
        <v>0</v>
      </c>
      <c r="M38" s="259">
        <f t="shared" si="2"/>
        <v>0</v>
      </c>
      <c r="N38" s="259">
        <f>M38</f>
        <v>0</v>
      </c>
      <c r="O38" s="259">
        <f aca="true" t="shared" si="3" ref="O38:Z38">N38-O37</f>
        <v>0</v>
      </c>
      <c r="P38" s="259">
        <f t="shared" si="3"/>
        <v>0</v>
      </c>
      <c r="Q38" s="259">
        <f t="shared" si="3"/>
        <v>0</v>
      </c>
      <c r="R38" s="259">
        <f t="shared" si="3"/>
        <v>0</v>
      </c>
      <c r="S38" s="259">
        <f t="shared" si="3"/>
        <v>0</v>
      </c>
      <c r="T38" s="259">
        <f t="shared" si="3"/>
        <v>0</v>
      </c>
      <c r="U38" s="259">
        <f t="shared" si="3"/>
        <v>0</v>
      </c>
      <c r="V38" s="259">
        <f t="shared" si="3"/>
        <v>0</v>
      </c>
      <c r="W38" s="259">
        <f t="shared" si="3"/>
        <v>0</v>
      </c>
      <c r="X38" s="259">
        <f t="shared" si="3"/>
        <v>0</v>
      </c>
      <c r="Y38" s="259">
        <f t="shared" si="3"/>
        <v>0</v>
      </c>
      <c r="Z38" s="259">
        <f t="shared" si="3"/>
        <v>0</v>
      </c>
      <c r="AA38" s="259">
        <f>Z38</f>
        <v>0</v>
      </c>
      <c r="AB38" s="259">
        <f>AA38-AB37</f>
        <v>0</v>
      </c>
      <c r="AC38" s="259">
        <f>AB38-AC37</f>
        <v>0</v>
      </c>
      <c r="AD38" s="259">
        <f>AC38-AD37</f>
        <v>0</v>
      </c>
      <c r="AE38" s="199"/>
    </row>
    <row r="39" spans="1:31" ht="15" hidden="1">
      <c r="A39" s="199"/>
      <c r="B39" s="199"/>
      <c r="C39" s="199"/>
      <c r="D39" s="199"/>
      <c r="E39" s="199"/>
      <c r="F39" s="199"/>
      <c r="G39" s="199"/>
      <c r="H39" s="199"/>
      <c r="I39" s="199"/>
      <c r="J39" s="199"/>
      <c r="K39" s="199"/>
      <c r="L39" s="199"/>
      <c r="M39" s="199"/>
      <c r="N39" s="199"/>
      <c r="O39" s="245"/>
      <c r="P39" s="199"/>
      <c r="Q39" s="199"/>
      <c r="R39" s="199"/>
      <c r="S39" s="199"/>
      <c r="T39" s="199"/>
      <c r="U39" s="199"/>
      <c r="V39" s="199"/>
      <c r="W39" s="199"/>
      <c r="X39" s="199"/>
      <c r="Y39" s="199"/>
      <c r="Z39" s="199"/>
      <c r="AA39" s="199"/>
      <c r="AB39" s="199"/>
      <c r="AC39" s="199"/>
      <c r="AD39" s="199"/>
      <c r="AE39" s="199"/>
    </row>
    <row r="40" spans="1:31" ht="15" hidden="1">
      <c r="A40" s="199"/>
      <c r="B40" s="199"/>
      <c r="C40" s="199"/>
      <c r="D40" s="199"/>
      <c r="E40" s="199"/>
      <c r="F40" s="199"/>
      <c r="G40" s="199"/>
      <c r="H40" s="199"/>
      <c r="I40" s="199"/>
      <c r="J40" s="199"/>
      <c r="K40" s="199"/>
      <c r="L40" s="199"/>
      <c r="M40" s="199"/>
      <c r="N40" s="199"/>
      <c r="O40" s="245"/>
      <c r="P40" s="199"/>
      <c r="Q40" s="199"/>
      <c r="R40" s="199"/>
      <c r="S40" s="199"/>
      <c r="T40" s="199"/>
      <c r="U40" s="199"/>
      <c r="V40" s="199"/>
      <c r="W40" s="199"/>
      <c r="X40" s="199"/>
      <c r="Y40" s="199"/>
      <c r="Z40" s="199"/>
      <c r="AA40" s="199"/>
      <c r="AB40" s="199"/>
      <c r="AC40" s="199"/>
      <c r="AD40" s="199"/>
      <c r="AE40" s="199"/>
    </row>
    <row r="41" spans="1:31" ht="15" hidden="1">
      <c r="A41" s="231" t="s">
        <v>48</v>
      </c>
      <c r="B41" s="199"/>
      <c r="C41" s="199"/>
      <c r="D41" s="199"/>
      <c r="E41" s="199"/>
      <c r="F41" s="199"/>
      <c r="G41" s="199"/>
      <c r="H41" s="199"/>
      <c r="I41" s="199"/>
      <c r="J41" s="199"/>
      <c r="K41" s="199"/>
      <c r="L41" s="199"/>
      <c r="M41" s="199"/>
      <c r="N41" s="199"/>
      <c r="O41" s="245"/>
      <c r="P41" s="199"/>
      <c r="Q41" s="199"/>
      <c r="R41" s="199"/>
      <c r="S41" s="199"/>
      <c r="T41" s="199"/>
      <c r="U41" s="199"/>
      <c r="V41" s="199"/>
      <c r="W41" s="199"/>
      <c r="X41" s="199"/>
      <c r="Y41" s="199"/>
      <c r="Z41" s="199"/>
      <c r="AA41" s="199"/>
      <c r="AB41" s="199"/>
      <c r="AC41" s="199"/>
      <c r="AD41" s="199"/>
      <c r="AE41" s="199"/>
    </row>
    <row r="42" spans="1:31" ht="15" hidden="1">
      <c r="A42" s="258" t="s">
        <v>173</v>
      </c>
      <c r="B42" s="259">
        <f>B15</f>
        <v>4750</v>
      </c>
      <c r="C42" s="199"/>
      <c r="D42" s="199"/>
      <c r="E42" s="199"/>
      <c r="F42" s="199"/>
      <c r="G42" s="199"/>
      <c r="H42" s="199"/>
      <c r="I42" s="199"/>
      <c r="J42" s="199"/>
      <c r="K42" s="199"/>
      <c r="L42" s="199"/>
      <c r="M42" s="199"/>
      <c r="N42" s="199"/>
      <c r="O42" s="245"/>
      <c r="P42" s="199"/>
      <c r="Q42" s="199"/>
      <c r="R42" s="199"/>
      <c r="S42" s="199"/>
      <c r="T42" s="199"/>
      <c r="U42" s="199"/>
      <c r="V42" s="199"/>
      <c r="W42" s="199"/>
      <c r="X42" s="199"/>
      <c r="Y42" s="199"/>
      <c r="Z42" s="199"/>
      <c r="AA42" s="199"/>
      <c r="AB42" s="199"/>
      <c r="AC42" s="199"/>
      <c r="AD42" s="199"/>
      <c r="AE42" s="199"/>
    </row>
    <row r="43" spans="1:31" ht="15" hidden="1">
      <c r="A43" s="258" t="s">
        <v>78</v>
      </c>
      <c r="B43" s="249">
        <v>0</v>
      </c>
      <c r="C43" s="249">
        <v>0</v>
      </c>
      <c r="D43" s="249">
        <v>0</v>
      </c>
      <c r="E43" s="249">
        <v>0</v>
      </c>
      <c r="F43" s="249">
        <v>0</v>
      </c>
      <c r="G43" s="249">
        <v>0</v>
      </c>
      <c r="H43" s="249">
        <v>0</v>
      </c>
      <c r="I43" s="249">
        <v>0</v>
      </c>
      <c r="J43" s="249">
        <v>0</v>
      </c>
      <c r="K43" s="249">
        <v>0</v>
      </c>
      <c r="L43" s="249">
        <v>0</v>
      </c>
      <c r="M43" s="249">
        <v>0</v>
      </c>
      <c r="N43" s="260">
        <f>SUM(B43:M43)</f>
        <v>0</v>
      </c>
      <c r="O43" s="249">
        <v>0</v>
      </c>
      <c r="P43" s="249">
        <v>0</v>
      </c>
      <c r="Q43" s="249">
        <v>0</v>
      </c>
      <c r="R43" s="249">
        <v>0</v>
      </c>
      <c r="S43" s="249">
        <v>0</v>
      </c>
      <c r="T43" s="249">
        <v>0</v>
      </c>
      <c r="U43" s="249">
        <v>0</v>
      </c>
      <c r="V43" s="249">
        <v>0</v>
      </c>
      <c r="W43" s="249">
        <v>0</v>
      </c>
      <c r="X43" s="249">
        <v>0</v>
      </c>
      <c r="Y43" s="249">
        <v>0</v>
      </c>
      <c r="Z43" s="249">
        <v>0</v>
      </c>
      <c r="AA43" s="260">
        <f>SUM(O43:Z43)</f>
        <v>0</v>
      </c>
      <c r="AB43" s="249">
        <v>0</v>
      </c>
      <c r="AC43" s="249">
        <v>0</v>
      </c>
      <c r="AD43" s="249">
        <v>0</v>
      </c>
      <c r="AE43" s="199"/>
    </row>
    <row r="44" spans="1:31" s="121" customFormat="1" ht="15" hidden="1">
      <c r="A44" s="261" t="s">
        <v>54</v>
      </c>
      <c r="B44" s="253">
        <f>B42-B43</f>
        <v>4750</v>
      </c>
      <c r="C44" s="253">
        <f aca="true" t="shared" si="4" ref="C44:M44">B44-C43</f>
        <v>4750</v>
      </c>
      <c r="D44" s="253">
        <f t="shared" si="4"/>
        <v>4750</v>
      </c>
      <c r="E44" s="253">
        <f t="shared" si="4"/>
        <v>4750</v>
      </c>
      <c r="F44" s="253">
        <f t="shared" si="4"/>
        <v>4750</v>
      </c>
      <c r="G44" s="253">
        <f t="shared" si="4"/>
        <v>4750</v>
      </c>
      <c r="H44" s="253">
        <f t="shared" si="4"/>
        <v>4750</v>
      </c>
      <c r="I44" s="253">
        <f t="shared" si="4"/>
        <v>4750</v>
      </c>
      <c r="J44" s="253">
        <f t="shared" si="4"/>
        <v>4750</v>
      </c>
      <c r="K44" s="253">
        <f t="shared" si="4"/>
        <v>4750</v>
      </c>
      <c r="L44" s="253">
        <f t="shared" si="4"/>
        <v>4750</v>
      </c>
      <c r="M44" s="253">
        <f t="shared" si="4"/>
        <v>4750</v>
      </c>
      <c r="N44" s="253">
        <f>M44</f>
        <v>4750</v>
      </c>
      <c r="O44" s="253">
        <f aca="true" t="shared" si="5" ref="O44:Z44">N44-O43</f>
        <v>4750</v>
      </c>
      <c r="P44" s="253">
        <f t="shared" si="5"/>
        <v>4750</v>
      </c>
      <c r="Q44" s="253">
        <f t="shared" si="5"/>
        <v>4750</v>
      </c>
      <c r="R44" s="253">
        <f t="shared" si="5"/>
        <v>4750</v>
      </c>
      <c r="S44" s="253">
        <f t="shared" si="5"/>
        <v>4750</v>
      </c>
      <c r="T44" s="253">
        <f t="shared" si="5"/>
        <v>4750</v>
      </c>
      <c r="U44" s="253">
        <f t="shared" si="5"/>
        <v>4750</v>
      </c>
      <c r="V44" s="253">
        <f t="shared" si="5"/>
        <v>4750</v>
      </c>
      <c r="W44" s="253">
        <f t="shared" si="5"/>
        <v>4750</v>
      </c>
      <c r="X44" s="253">
        <f t="shared" si="5"/>
        <v>4750</v>
      </c>
      <c r="Y44" s="253">
        <f t="shared" si="5"/>
        <v>4750</v>
      </c>
      <c r="Z44" s="253">
        <f t="shared" si="5"/>
        <v>4750</v>
      </c>
      <c r="AA44" s="253">
        <f>Z44</f>
        <v>4750</v>
      </c>
      <c r="AB44" s="253">
        <f>AA44-AB43</f>
        <v>4750</v>
      </c>
      <c r="AC44" s="253">
        <f>AB44-AC43</f>
        <v>4750</v>
      </c>
      <c r="AD44" s="253">
        <f>AC44-AD43</f>
        <v>4750</v>
      </c>
      <c r="AE44" s="262"/>
    </row>
    <row r="45" spans="1:31" ht="15" hidden="1">
      <c r="A45" s="199"/>
      <c r="B45" s="199"/>
      <c r="C45" s="199"/>
      <c r="D45" s="199"/>
      <c r="E45" s="199"/>
      <c r="F45" s="199"/>
      <c r="G45" s="199"/>
      <c r="H45" s="199"/>
      <c r="I45" s="199"/>
      <c r="J45" s="199"/>
      <c r="K45" s="199"/>
      <c r="L45" s="199"/>
      <c r="M45" s="199"/>
      <c r="N45" s="199"/>
      <c r="O45" s="245"/>
      <c r="P45" s="199"/>
      <c r="Q45" s="199"/>
      <c r="R45" s="199"/>
      <c r="S45" s="199"/>
      <c r="T45" s="199"/>
      <c r="U45" s="199"/>
      <c r="V45" s="199"/>
      <c r="W45" s="199"/>
      <c r="X45" s="199"/>
      <c r="Y45" s="199"/>
      <c r="Z45" s="199"/>
      <c r="AA45" s="199"/>
      <c r="AB45" s="199"/>
      <c r="AC45" s="199"/>
      <c r="AD45" s="199"/>
      <c r="AE45" s="199"/>
    </row>
    <row r="46" spans="1:31" ht="15" hidden="1">
      <c r="A46" s="199"/>
      <c r="B46" s="199"/>
      <c r="C46" s="199"/>
      <c r="D46" s="199"/>
      <c r="E46" s="199"/>
      <c r="F46" s="199"/>
      <c r="G46" s="199"/>
      <c r="H46" s="199"/>
      <c r="I46" s="199"/>
      <c r="J46" s="199"/>
      <c r="K46" s="199"/>
      <c r="L46" s="199"/>
      <c r="M46" s="199"/>
      <c r="N46" s="199"/>
      <c r="O46" s="245"/>
      <c r="P46" s="199"/>
      <c r="Q46" s="199"/>
      <c r="R46" s="199"/>
      <c r="S46" s="199"/>
      <c r="T46" s="199"/>
      <c r="U46" s="199"/>
      <c r="V46" s="199"/>
      <c r="W46" s="199"/>
      <c r="X46" s="199"/>
      <c r="Y46" s="199"/>
      <c r="Z46" s="199"/>
      <c r="AA46" s="199"/>
      <c r="AB46" s="199"/>
      <c r="AC46" s="199"/>
      <c r="AD46" s="199"/>
      <c r="AE46" s="199"/>
    </row>
    <row r="47" spans="1:31" ht="15" hidden="1">
      <c r="A47" s="231" t="s">
        <v>120</v>
      </c>
      <c r="B47" s="199"/>
      <c r="C47" s="199"/>
      <c r="D47" s="199"/>
      <c r="E47" s="199"/>
      <c r="F47" s="199"/>
      <c r="G47" s="199"/>
      <c r="H47" s="199"/>
      <c r="I47" s="199"/>
      <c r="J47" s="199"/>
      <c r="K47" s="199"/>
      <c r="L47" s="199"/>
      <c r="M47" s="199"/>
      <c r="N47" s="199"/>
      <c r="O47" s="245"/>
      <c r="P47" s="199"/>
      <c r="Q47" s="199"/>
      <c r="R47" s="199"/>
      <c r="S47" s="199"/>
      <c r="T47" s="199"/>
      <c r="U47" s="199"/>
      <c r="V47" s="199"/>
      <c r="W47" s="199"/>
      <c r="X47" s="199"/>
      <c r="Y47" s="199"/>
      <c r="Z47" s="199"/>
      <c r="AA47" s="199"/>
      <c r="AB47" s="199"/>
      <c r="AC47" s="199"/>
      <c r="AD47" s="199"/>
      <c r="AE47" s="199"/>
    </row>
    <row r="48" spans="1:31" ht="15" hidden="1">
      <c r="A48" s="258" t="s">
        <v>1</v>
      </c>
      <c r="B48" s="259">
        <f>B18</f>
        <v>0</v>
      </c>
      <c r="C48" s="199"/>
      <c r="D48" s="199"/>
      <c r="E48" s="199"/>
      <c r="F48" s="199"/>
      <c r="G48" s="199"/>
      <c r="H48" s="199"/>
      <c r="I48" s="199"/>
      <c r="J48" s="199"/>
      <c r="K48" s="199"/>
      <c r="L48" s="199"/>
      <c r="M48" s="199"/>
      <c r="N48" s="199"/>
      <c r="O48" s="245"/>
      <c r="P48" s="199"/>
      <c r="Q48" s="199"/>
      <c r="R48" s="199"/>
      <c r="S48" s="199"/>
      <c r="T48" s="199"/>
      <c r="U48" s="199"/>
      <c r="V48" s="199"/>
      <c r="W48" s="199"/>
      <c r="X48" s="199"/>
      <c r="Y48" s="199"/>
      <c r="Z48" s="199"/>
      <c r="AA48" s="199"/>
      <c r="AB48" s="199"/>
      <c r="AC48" s="199"/>
      <c r="AD48" s="199"/>
      <c r="AE48" s="199"/>
    </row>
    <row r="49" spans="1:31" ht="15" hidden="1">
      <c r="A49" s="258" t="s">
        <v>121</v>
      </c>
      <c r="B49" s="249">
        <v>0</v>
      </c>
      <c r="C49" s="249">
        <v>0</v>
      </c>
      <c r="D49" s="249">
        <v>0</v>
      </c>
      <c r="E49" s="249">
        <v>0</v>
      </c>
      <c r="F49" s="249">
        <v>0</v>
      </c>
      <c r="G49" s="249">
        <v>0</v>
      </c>
      <c r="H49" s="249">
        <v>0</v>
      </c>
      <c r="I49" s="249">
        <v>0</v>
      </c>
      <c r="J49" s="249">
        <v>0</v>
      </c>
      <c r="K49" s="249">
        <v>0</v>
      </c>
      <c r="L49" s="249">
        <v>0</v>
      </c>
      <c r="M49" s="249">
        <v>0</v>
      </c>
      <c r="N49" s="260">
        <f>SUM(B49:M49)</f>
        <v>0</v>
      </c>
      <c r="O49" s="249">
        <v>0</v>
      </c>
      <c r="P49" s="249">
        <v>0</v>
      </c>
      <c r="Q49" s="249">
        <v>0</v>
      </c>
      <c r="R49" s="249">
        <v>0</v>
      </c>
      <c r="S49" s="249">
        <v>0</v>
      </c>
      <c r="T49" s="249">
        <v>0</v>
      </c>
      <c r="U49" s="249">
        <v>0</v>
      </c>
      <c r="V49" s="249">
        <v>0</v>
      </c>
      <c r="W49" s="249">
        <v>0</v>
      </c>
      <c r="X49" s="249">
        <v>0</v>
      </c>
      <c r="Y49" s="249">
        <v>0</v>
      </c>
      <c r="Z49" s="249">
        <v>0</v>
      </c>
      <c r="AA49" s="260">
        <f>SUM(O49:Z49)</f>
        <v>0</v>
      </c>
      <c r="AB49" s="249">
        <v>0</v>
      </c>
      <c r="AC49" s="249">
        <v>0</v>
      </c>
      <c r="AD49" s="249">
        <v>0</v>
      </c>
      <c r="AE49" s="199"/>
    </row>
    <row r="50" spans="1:31" ht="15" hidden="1">
      <c r="A50" s="258" t="s">
        <v>219</v>
      </c>
      <c r="B50" s="259">
        <f>B48-SUM(B49:B49)</f>
        <v>0</v>
      </c>
      <c r="C50" s="259">
        <f aca="true" t="shared" si="6" ref="C50:M50">B50-C49</f>
        <v>0</v>
      </c>
      <c r="D50" s="259">
        <f t="shared" si="6"/>
        <v>0</v>
      </c>
      <c r="E50" s="259">
        <f t="shared" si="6"/>
        <v>0</v>
      </c>
      <c r="F50" s="259">
        <f t="shared" si="6"/>
        <v>0</v>
      </c>
      <c r="G50" s="259">
        <f t="shared" si="6"/>
        <v>0</v>
      </c>
      <c r="H50" s="259">
        <f t="shared" si="6"/>
        <v>0</v>
      </c>
      <c r="I50" s="259">
        <f t="shared" si="6"/>
        <v>0</v>
      </c>
      <c r="J50" s="259">
        <f t="shared" si="6"/>
        <v>0</v>
      </c>
      <c r="K50" s="259">
        <f t="shared" si="6"/>
        <v>0</v>
      </c>
      <c r="L50" s="259">
        <f t="shared" si="6"/>
        <v>0</v>
      </c>
      <c r="M50" s="259">
        <f t="shared" si="6"/>
        <v>0</v>
      </c>
      <c r="N50" s="259">
        <f>M50</f>
        <v>0</v>
      </c>
      <c r="O50" s="259">
        <f aca="true" t="shared" si="7" ref="O50:Z50">N50-O49</f>
        <v>0</v>
      </c>
      <c r="P50" s="259">
        <f t="shared" si="7"/>
        <v>0</v>
      </c>
      <c r="Q50" s="259">
        <f t="shared" si="7"/>
        <v>0</v>
      </c>
      <c r="R50" s="259">
        <f t="shared" si="7"/>
        <v>0</v>
      </c>
      <c r="S50" s="259">
        <f t="shared" si="7"/>
        <v>0</v>
      </c>
      <c r="T50" s="259">
        <f t="shared" si="7"/>
        <v>0</v>
      </c>
      <c r="U50" s="259">
        <f t="shared" si="7"/>
        <v>0</v>
      </c>
      <c r="V50" s="259">
        <f t="shared" si="7"/>
        <v>0</v>
      </c>
      <c r="W50" s="259">
        <f t="shared" si="7"/>
        <v>0</v>
      </c>
      <c r="X50" s="259">
        <f t="shared" si="7"/>
        <v>0</v>
      </c>
      <c r="Y50" s="259">
        <f t="shared" si="7"/>
        <v>0</v>
      </c>
      <c r="Z50" s="259">
        <f t="shared" si="7"/>
        <v>0</v>
      </c>
      <c r="AA50" s="259">
        <f>Z50</f>
        <v>0</v>
      </c>
      <c r="AB50" s="259">
        <f>AA50-AB49</f>
        <v>0</v>
      </c>
      <c r="AC50" s="259">
        <f>AB50-AC49</f>
        <v>0</v>
      </c>
      <c r="AD50" s="259">
        <f>AC50-AD49</f>
        <v>0</v>
      </c>
      <c r="AE50" s="199"/>
    </row>
    <row r="51" spans="1:31" ht="15" hidden="1">
      <c r="A51" s="199"/>
      <c r="B51" s="199"/>
      <c r="C51" s="199"/>
      <c r="D51" s="199"/>
      <c r="E51" s="199"/>
      <c r="F51" s="199"/>
      <c r="G51" s="199"/>
      <c r="H51" s="199"/>
      <c r="I51" s="199"/>
      <c r="J51" s="199"/>
      <c r="K51" s="199"/>
      <c r="L51" s="199"/>
      <c r="M51" s="199"/>
      <c r="N51" s="199"/>
      <c r="O51" s="245"/>
      <c r="P51" s="199"/>
      <c r="Q51" s="199"/>
      <c r="R51" s="199"/>
      <c r="S51" s="199"/>
      <c r="T51" s="199"/>
      <c r="U51" s="199"/>
      <c r="V51" s="199"/>
      <c r="W51" s="199"/>
      <c r="X51" s="199"/>
      <c r="Y51" s="199"/>
      <c r="Z51" s="199"/>
      <c r="AA51" s="199"/>
      <c r="AB51" s="199"/>
      <c r="AC51" s="199"/>
      <c r="AD51" s="199"/>
      <c r="AE51" s="199"/>
    </row>
    <row r="52" spans="1:31" ht="15" hidden="1">
      <c r="A52" s="199"/>
      <c r="B52" s="199"/>
      <c r="C52" s="199"/>
      <c r="D52" s="199"/>
      <c r="E52" s="199"/>
      <c r="F52" s="199"/>
      <c r="G52" s="199"/>
      <c r="H52" s="199"/>
      <c r="I52" s="199"/>
      <c r="J52" s="199"/>
      <c r="K52" s="199"/>
      <c r="L52" s="199"/>
      <c r="M52" s="199"/>
      <c r="N52" s="199"/>
      <c r="O52" s="245"/>
      <c r="P52" s="199"/>
      <c r="Q52" s="199"/>
      <c r="R52" s="199"/>
      <c r="S52" s="199"/>
      <c r="T52" s="199"/>
      <c r="U52" s="199"/>
      <c r="V52" s="199"/>
      <c r="W52" s="199"/>
      <c r="X52" s="199"/>
      <c r="Y52" s="199"/>
      <c r="Z52" s="199"/>
      <c r="AA52" s="199"/>
      <c r="AB52" s="199"/>
      <c r="AC52" s="199"/>
      <c r="AD52" s="199"/>
      <c r="AE52" s="199"/>
    </row>
    <row r="53" spans="1:31" ht="15" hidden="1">
      <c r="A53" s="231" t="s">
        <v>34</v>
      </c>
      <c r="B53" s="199"/>
      <c r="C53" s="199"/>
      <c r="D53" s="199"/>
      <c r="E53" s="199"/>
      <c r="F53" s="199"/>
      <c r="G53" s="199"/>
      <c r="H53" s="199"/>
      <c r="I53" s="199"/>
      <c r="J53" s="199"/>
      <c r="K53" s="199"/>
      <c r="L53" s="199"/>
      <c r="M53" s="199"/>
      <c r="N53" s="199"/>
      <c r="O53" s="245"/>
      <c r="P53" s="199"/>
      <c r="Q53" s="199"/>
      <c r="R53" s="199"/>
      <c r="S53" s="199"/>
      <c r="T53" s="199"/>
      <c r="U53" s="199"/>
      <c r="V53" s="199"/>
      <c r="W53" s="199"/>
      <c r="X53" s="199"/>
      <c r="Y53" s="199"/>
      <c r="Z53" s="199"/>
      <c r="AA53" s="199"/>
      <c r="AB53" s="199"/>
      <c r="AC53" s="199"/>
      <c r="AD53" s="199"/>
      <c r="AE53" s="199"/>
    </row>
    <row r="54" spans="1:31" ht="15" hidden="1">
      <c r="A54" s="258" t="s">
        <v>126</v>
      </c>
      <c r="B54" s="259">
        <f>B19</f>
        <v>0</v>
      </c>
      <c r="C54" s="199"/>
      <c r="D54" s="199"/>
      <c r="E54" s="199"/>
      <c r="F54" s="199"/>
      <c r="G54" s="199"/>
      <c r="H54" s="199"/>
      <c r="I54" s="199"/>
      <c r="J54" s="199"/>
      <c r="K54" s="199"/>
      <c r="L54" s="199"/>
      <c r="M54" s="199"/>
      <c r="N54" s="199"/>
      <c r="O54" s="245"/>
      <c r="P54" s="199"/>
      <c r="Q54" s="199"/>
      <c r="R54" s="199"/>
      <c r="S54" s="199"/>
      <c r="T54" s="199"/>
      <c r="U54" s="199"/>
      <c r="V54" s="199"/>
      <c r="W54" s="199"/>
      <c r="X54" s="199"/>
      <c r="Y54" s="199"/>
      <c r="Z54" s="199"/>
      <c r="AA54" s="199"/>
      <c r="AB54" s="199"/>
      <c r="AC54" s="199"/>
      <c r="AD54" s="199"/>
      <c r="AE54" s="199"/>
    </row>
    <row r="55" spans="1:31" ht="15" hidden="1">
      <c r="A55" s="258" t="s">
        <v>228</v>
      </c>
      <c r="B55" s="249">
        <v>0</v>
      </c>
      <c r="C55" s="249">
        <v>0</v>
      </c>
      <c r="D55" s="249">
        <v>0</v>
      </c>
      <c r="E55" s="249">
        <v>0</v>
      </c>
      <c r="F55" s="249">
        <v>0</v>
      </c>
      <c r="G55" s="249">
        <v>0</v>
      </c>
      <c r="H55" s="249">
        <v>0</v>
      </c>
      <c r="I55" s="249">
        <v>0</v>
      </c>
      <c r="J55" s="249">
        <v>0</v>
      </c>
      <c r="K55" s="249">
        <v>0</v>
      </c>
      <c r="L55" s="249">
        <v>0</v>
      </c>
      <c r="M55" s="249">
        <v>0</v>
      </c>
      <c r="N55" s="260">
        <f>SUM(B55:M55)</f>
        <v>0</v>
      </c>
      <c r="O55" s="249">
        <v>0</v>
      </c>
      <c r="P55" s="249">
        <v>0</v>
      </c>
      <c r="Q55" s="249">
        <v>0</v>
      </c>
      <c r="R55" s="249">
        <v>0</v>
      </c>
      <c r="S55" s="249">
        <v>0</v>
      </c>
      <c r="T55" s="249">
        <v>0</v>
      </c>
      <c r="U55" s="249">
        <v>0</v>
      </c>
      <c r="V55" s="249">
        <v>0</v>
      </c>
      <c r="W55" s="249">
        <v>0</v>
      </c>
      <c r="X55" s="249">
        <v>0</v>
      </c>
      <c r="Y55" s="249">
        <v>0</v>
      </c>
      <c r="Z55" s="249">
        <v>0</v>
      </c>
      <c r="AA55" s="260">
        <f>SUM(O55:Z55)</f>
        <v>0</v>
      </c>
      <c r="AB55" s="249">
        <v>0</v>
      </c>
      <c r="AC55" s="249">
        <v>0</v>
      </c>
      <c r="AD55" s="249">
        <v>0</v>
      </c>
      <c r="AE55" s="199"/>
    </row>
    <row r="56" spans="1:31" ht="15" hidden="1">
      <c r="A56" s="258" t="s">
        <v>128</v>
      </c>
      <c r="B56" s="249">
        <v>0</v>
      </c>
      <c r="C56" s="249">
        <v>0</v>
      </c>
      <c r="D56" s="249">
        <v>0</v>
      </c>
      <c r="E56" s="249">
        <v>0</v>
      </c>
      <c r="F56" s="249">
        <v>0</v>
      </c>
      <c r="G56" s="249">
        <v>0</v>
      </c>
      <c r="H56" s="249">
        <v>0</v>
      </c>
      <c r="I56" s="249">
        <v>0</v>
      </c>
      <c r="J56" s="249">
        <v>0</v>
      </c>
      <c r="K56" s="249">
        <v>0</v>
      </c>
      <c r="L56" s="249">
        <v>0</v>
      </c>
      <c r="M56" s="249">
        <v>0</v>
      </c>
      <c r="N56" s="260">
        <f>SUM(B56:M56)</f>
        <v>0</v>
      </c>
      <c r="O56" s="249">
        <v>0</v>
      </c>
      <c r="P56" s="249">
        <v>0</v>
      </c>
      <c r="Q56" s="249">
        <v>0</v>
      </c>
      <c r="R56" s="249">
        <v>0</v>
      </c>
      <c r="S56" s="249">
        <v>0</v>
      </c>
      <c r="T56" s="249">
        <v>0</v>
      </c>
      <c r="U56" s="249">
        <v>0</v>
      </c>
      <c r="V56" s="249">
        <v>0</v>
      </c>
      <c r="W56" s="249">
        <v>0</v>
      </c>
      <c r="X56" s="249">
        <v>0</v>
      </c>
      <c r="Y56" s="249">
        <v>0</v>
      </c>
      <c r="Z56" s="249">
        <v>0</v>
      </c>
      <c r="AA56" s="260">
        <f>SUM(O56:Z56)</f>
        <v>0</v>
      </c>
      <c r="AB56" s="249">
        <v>0</v>
      </c>
      <c r="AC56" s="249">
        <v>0</v>
      </c>
      <c r="AD56" s="249">
        <v>0</v>
      </c>
      <c r="AE56" s="199"/>
    </row>
    <row r="57" spans="1:31" s="121" customFormat="1" ht="15" hidden="1">
      <c r="A57" s="261" t="s">
        <v>23</v>
      </c>
      <c r="B57" s="253">
        <f>B54-B55</f>
        <v>0</v>
      </c>
      <c r="C57" s="253">
        <f aca="true" t="shared" si="8" ref="C57:M57">B57-C55</f>
        <v>0</v>
      </c>
      <c r="D57" s="253">
        <f t="shared" si="8"/>
        <v>0</v>
      </c>
      <c r="E57" s="253">
        <f t="shared" si="8"/>
        <v>0</v>
      </c>
      <c r="F57" s="253">
        <f t="shared" si="8"/>
        <v>0</v>
      </c>
      <c r="G57" s="253">
        <f t="shared" si="8"/>
        <v>0</v>
      </c>
      <c r="H57" s="253">
        <f t="shared" si="8"/>
        <v>0</v>
      </c>
      <c r="I57" s="253">
        <f t="shared" si="8"/>
        <v>0</v>
      </c>
      <c r="J57" s="253">
        <f t="shared" si="8"/>
        <v>0</v>
      </c>
      <c r="K57" s="253">
        <f t="shared" si="8"/>
        <v>0</v>
      </c>
      <c r="L57" s="253">
        <f t="shared" si="8"/>
        <v>0</v>
      </c>
      <c r="M57" s="253">
        <f t="shared" si="8"/>
        <v>0</v>
      </c>
      <c r="N57" s="253">
        <f>M57</f>
        <v>0</v>
      </c>
      <c r="O57" s="253">
        <f aca="true" t="shared" si="9" ref="O57:Z57">N57-O55</f>
        <v>0</v>
      </c>
      <c r="P57" s="253">
        <f t="shared" si="9"/>
        <v>0</v>
      </c>
      <c r="Q57" s="253">
        <f t="shared" si="9"/>
        <v>0</v>
      </c>
      <c r="R57" s="253">
        <f t="shared" si="9"/>
        <v>0</v>
      </c>
      <c r="S57" s="253">
        <f t="shared" si="9"/>
        <v>0</v>
      </c>
      <c r="T57" s="253">
        <f t="shared" si="9"/>
        <v>0</v>
      </c>
      <c r="U57" s="253">
        <f t="shared" si="9"/>
        <v>0</v>
      </c>
      <c r="V57" s="253">
        <f t="shared" si="9"/>
        <v>0</v>
      </c>
      <c r="W57" s="253">
        <f t="shared" si="9"/>
        <v>0</v>
      </c>
      <c r="X57" s="253">
        <f t="shared" si="9"/>
        <v>0</v>
      </c>
      <c r="Y57" s="253">
        <f t="shared" si="9"/>
        <v>0</v>
      </c>
      <c r="Z57" s="253">
        <f t="shared" si="9"/>
        <v>0</v>
      </c>
      <c r="AA57" s="253">
        <f>Z57</f>
        <v>0</v>
      </c>
      <c r="AB57" s="253">
        <f>AA57-AB55</f>
        <v>0</v>
      </c>
      <c r="AC57" s="253">
        <f>AB57-AC55</f>
        <v>0</v>
      </c>
      <c r="AD57" s="253">
        <f>AC57-AD55</f>
        <v>0</v>
      </c>
      <c r="AE57" s="262"/>
    </row>
    <row r="58" spans="1:31" ht="15" hidden="1">
      <c r="A58" s="199"/>
      <c r="B58" s="199"/>
      <c r="C58" s="199"/>
      <c r="D58" s="199"/>
      <c r="E58" s="199"/>
      <c r="F58" s="199"/>
      <c r="G58" s="199"/>
      <c r="H58" s="199"/>
      <c r="I58" s="199"/>
      <c r="J58" s="199"/>
      <c r="K58" s="199"/>
      <c r="L58" s="199"/>
      <c r="M58" s="199"/>
      <c r="N58" s="199"/>
      <c r="O58" s="245"/>
      <c r="P58" s="199"/>
      <c r="Q58" s="199"/>
      <c r="R58" s="199"/>
      <c r="S58" s="199"/>
      <c r="T58" s="199"/>
      <c r="U58" s="199"/>
      <c r="V58" s="199"/>
      <c r="W58" s="199"/>
      <c r="X58" s="199"/>
      <c r="Y58" s="199"/>
      <c r="Z58" s="199"/>
      <c r="AA58" s="199"/>
      <c r="AB58" s="199"/>
      <c r="AC58" s="199"/>
      <c r="AD58" s="199"/>
      <c r="AE58" s="199"/>
    </row>
    <row r="59" spans="1:31" ht="15" hidden="1">
      <c r="A59" s="199"/>
      <c r="B59" s="199"/>
      <c r="C59" s="199"/>
      <c r="D59" s="199"/>
      <c r="E59" s="199"/>
      <c r="F59" s="199"/>
      <c r="G59" s="199"/>
      <c r="H59" s="199"/>
      <c r="I59" s="199"/>
      <c r="J59" s="199"/>
      <c r="K59" s="199"/>
      <c r="L59" s="199"/>
      <c r="M59" s="199"/>
      <c r="N59" s="199"/>
      <c r="O59" s="245"/>
      <c r="P59" s="199"/>
      <c r="Q59" s="199"/>
      <c r="R59" s="199"/>
      <c r="S59" s="199"/>
      <c r="T59" s="199"/>
      <c r="U59" s="199"/>
      <c r="V59" s="199"/>
      <c r="W59" s="199"/>
      <c r="X59" s="199"/>
      <c r="Y59" s="199"/>
      <c r="Z59" s="199"/>
      <c r="AA59" s="199"/>
      <c r="AB59" s="199"/>
      <c r="AC59" s="199"/>
      <c r="AD59" s="199"/>
      <c r="AE59" s="199"/>
    </row>
    <row r="60" spans="1:31" ht="15" hidden="1">
      <c r="A60" s="231" t="s">
        <v>19</v>
      </c>
      <c r="B60" s="199"/>
      <c r="C60" s="199"/>
      <c r="D60" s="199"/>
      <c r="E60" s="199"/>
      <c r="F60" s="199"/>
      <c r="G60" s="199"/>
      <c r="H60" s="199"/>
      <c r="I60" s="199"/>
      <c r="J60" s="199"/>
      <c r="K60" s="199"/>
      <c r="L60" s="199"/>
      <c r="M60" s="199"/>
      <c r="N60" s="199"/>
      <c r="O60" s="245"/>
      <c r="P60" s="199"/>
      <c r="Q60" s="199"/>
      <c r="R60" s="199"/>
      <c r="S60" s="199"/>
      <c r="T60" s="199"/>
      <c r="U60" s="199"/>
      <c r="V60" s="199"/>
      <c r="W60" s="199"/>
      <c r="X60" s="199"/>
      <c r="Y60" s="199"/>
      <c r="Z60" s="199"/>
      <c r="AA60" s="199"/>
      <c r="AB60" s="199"/>
      <c r="AC60" s="199"/>
      <c r="AD60" s="199"/>
      <c r="AE60" s="199"/>
    </row>
    <row r="61" spans="1:31" ht="15" hidden="1">
      <c r="A61" s="258" t="s">
        <v>126</v>
      </c>
      <c r="B61" s="259">
        <f>B22</f>
        <v>0</v>
      </c>
      <c r="C61" s="199"/>
      <c r="D61" s="199"/>
      <c r="E61" s="199"/>
      <c r="F61" s="199"/>
      <c r="G61" s="199"/>
      <c r="H61" s="199"/>
      <c r="I61" s="199"/>
      <c r="J61" s="199"/>
      <c r="K61" s="199"/>
      <c r="L61" s="199"/>
      <c r="M61" s="199"/>
      <c r="N61" s="199"/>
      <c r="O61" s="245"/>
      <c r="P61" s="199"/>
      <c r="Q61" s="199"/>
      <c r="R61" s="199"/>
      <c r="S61" s="199"/>
      <c r="T61" s="199"/>
      <c r="U61" s="199"/>
      <c r="V61" s="199"/>
      <c r="W61" s="199"/>
      <c r="X61" s="199"/>
      <c r="Y61" s="199"/>
      <c r="Z61" s="199"/>
      <c r="AA61" s="199"/>
      <c r="AB61" s="199"/>
      <c r="AC61" s="199"/>
      <c r="AD61" s="199"/>
      <c r="AE61" s="199"/>
    </row>
    <row r="62" spans="1:31" ht="15" hidden="1">
      <c r="A62" s="258" t="s">
        <v>228</v>
      </c>
      <c r="B62" s="249">
        <v>0</v>
      </c>
      <c r="C62" s="249">
        <v>0</v>
      </c>
      <c r="D62" s="249">
        <v>0</v>
      </c>
      <c r="E62" s="249">
        <v>0</v>
      </c>
      <c r="F62" s="249">
        <v>0</v>
      </c>
      <c r="G62" s="249">
        <v>0</v>
      </c>
      <c r="H62" s="249">
        <v>0</v>
      </c>
      <c r="I62" s="249">
        <v>0</v>
      </c>
      <c r="J62" s="249">
        <v>0</v>
      </c>
      <c r="K62" s="249">
        <v>0</v>
      </c>
      <c r="L62" s="249">
        <v>0</v>
      </c>
      <c r="M62" s="249">
        <v>0</v>
      </c>
      <c r="N62" s="260">
        <f>SUM(B62:M62)</f>
        <v>0</v>
      </c>
      <c r="O62" s="249">
        <v>0</v>
      </c>
      <c r="P62" s="249">
        <v>0</v>
      </c>
      <c r="Q62" s="249">
        <v>0</v>
      </c>
      <c r="R62" s="249">
        <v>0</v>
      </c>
      <c r="S62" s="249">
        <v>0</v>
      </c>
      <c r="T62" s="249">
        <v>0</v>
      </c>
      <c r="U62" s="249">
        <v>0</v>
      </c>
      <c r="V62" s="249">
        <v>0</v>
      </c>
      <c r="W62" s="249">
        <v>0</v>
      </c>
      <c r="X62" s="249">
        <v>0</v>
      </c>
      <c r="Y62" s="249">
        <v>0</v>
      </c>
      <c r="Z62" s="249">
        <v>0</v>
      </c>
      <c r="AA62" s="260">
        <f>SUM(O62:Z62)</f>
        <v>0</v>
      </c>
      <c r="AB62" s="249">
        <v>0</v>
      </c>
      <c r="AC62" s="249">
        <v>0</v>
      </c>
      <c r="AD62" s="249">
        <v>0</v>
      </c>
      <c r="AE62" s="199"/>
    </row>
    <row r="63" spans="1:31" ht="15" hidden="1">
      <c r="A63" s="258" t="s">
        <v>128</v>
      </c>
      <c r="B63" s="249">
        <v>0</v>
      </c>
      <c r="C63" s="249">
        <v>0</v>
      </c>
      <c r="D63" s="249">
        <v>0</v>
      </c>
      <c r="E63" s="249">
        <v>0</v>
      </c>
      <c r="F63" s="249">
        <v>0</v>
      </c>
      <c r="G63" s="249">
        <v>0</v>
      </c>
      <c r="H63" s="249">
        <v>0</v>
      </c>
      <c r="I63" s="249">
        <v>0</v>
      </c>
      <c r="J63" s="249">
        <v>0</v>
      </c>
      <c r="K63" s="249">
        <v>0</v>
      </c>
      <c r="L63" s="249">
        <v>0</v>
      </c>
      <c r="M63" s="249">
        <v>0</v>
      </c>
      <c r="N63" s="260">
        <f>SUM(B63:M63)</f>
        <v>0</v>
      </c>
      <c r="O63" s="249">
        <v>0</v>
      </c>
      <c r="P63" s="249">
        <v>0</v>
      </c>
      <c r="Q63" s="249">
        <v>0</v>
      </c>
      <c r="R63" s="249">
        <v>0</v>
      </c>
      <c r="S63" s="249">
        <v>0</v>
      </c>
      <c r="T63" s="249">
        <v>0</v>
      </c>
      <c r="U63" s="249">
        <v>0</v>
      </c>
      <c r="V63" s="249">
        <v>0</v>
      </c>
      <c r="W63" s="249">
        <v>0</v>
      </c>
      <c r="X63" s="249">
        <v>0</v>
      </c>
      <c r="Y63" s="249">
        <v>0</v>
      </c>
      <c r="Z63" s="249">
        <v>0</v>
      </c>
      <c r="AA63" s="260">
        <f>SUM(O63:Z63)</f>
        <v>0</v>
      </c>
      <c r="AB63" s="249">
        <v>0</v>
      </c>
      <c r="AC63" s="249">
        <v>0</v>
      </c>
      <c r="AD63" s="249">
        <v>0</v>
      </c>
      <c r="AE63" s="199"/>
    </row>
    <row r="64" spans="1:31" s="121" customFormat="1" ht="15" hidden="1">
      <c r="A64" s="261" t="s">
        <v>23</v>
      </c>
      <c r="B64" s="253">
        <f>B61-B62</f>
        <v>0</v>
      </c>
      <c r="C64" s="253">
        <f aca="true" t="shared" si="10" ref="C64:M64">B64-C62</f>
        <v>0</v>
      </c>
      <c r="D64" s="253">
        <f t="shared" si="10"/>
        <v>0</v>
      </c>
      <c r="E64" s="253">
        <f t="shared" si="10"/>
        <v>0</v>
      </c>
      <c r="F64" s="253">
        <f t="shared" si="10"/>
        <v>0</v>
      </c>
      <c r="G64" s="253">
        <f t="shared" si="10"/>
        <v>0</v>
      </c>
      <c r="H64" s="253">
        <f t="shared" si="10"/>
        <v>0</v>
      </c>
      <c r="I64" s="253">
        <f t="shared" si="10"/>
        <v>0</v>
      </c>
      <c r="J64" s="253">
        <f t="shared" si="10"/>
        <v>0</v>
      </c>
      <c r="K64" s="253">
        <f t="shared" si="10"/>
        <v>0</v>
      </c>
      <c r="L64" s="253">
        <f t="shared" si="10"/>
        <v>0</v>
      </c>
      <c r="M64" s="253">
        <f t="shared" si="10"/>
        <v>0</v>
      </c>
      <c r="N64" s="253">
        <f>M64</f>
        <v>0</v>
      </c>
      <c r="O64" s="253">
        <f aca="true" t="shared" si="11" ref="O64:Z64">N64-O62</f>
        <v>0</v>
      </c>
      <c r="P64" s="253">
        <f t="shared" si="11"/>
        <v>0</v>
      </c>
      <c r="Q64" s="253">
        <f t="shared" si="11"/>
        <v>0</v>
      </c>
      <c r="R64" s="253">
        <f t="shared" si="11"/>
        <v>0</v>
      </c>
      <c r="S64" s="253">
        <f t="shared" si="11"/>
        <v>0</v>
      </c>
      <c r="T64" s="253">
        <f t="shared" si="11"/>
        <v>0</v>
      </c>
      <c r="U64" s="253">
        <f t="shared" si="11"/>
        <v>0</v>
      </c>
      <c r="V64" s="253">
        <f t="shared" si="11"/>
        <v>0</v>
      </c>
      <c r="W64" s="253">
        <f t="shared" si="11"/>
        <v>0</v>
      </c>
      <c r="X64" s="253">
        <f t="shared" si="11"/>
        <v>0</v>
      </c>
      <c r="Y64" s="253">
        <f t="shared" si="11"/>
        <v>0</v>
      </c>
      <c r="Z64" s="253">
        <f t="shared" si="11"/>
        <v>0</v>
      </c>
      <c r="AA64" s="253">
        <f>Z64</f>
        <v>0</v>
      </c>
      <c r="AB64" s="253">
        <f>AA64-AB62</f>
        <v>0</v>
      </c>
      <c r="AC64" s="253">
        <f>AB64-AC62</f>
        <v>0</v>
      </c>
      <c r="AD64" s="253">
        <f>AC64-AD62</f>
        <v>0</v>
      </c>
      <c r="AE64" s="262"/>
    </row>
    <row r="65" spans="1:31" ht="15" hidden="1">
      <c r="A65" s="199"/>
      <c r="B65" s="199"/>
      <c r="C65" s="199"/>
      <c r="D65" s="199"/>
      <c r="E65" s="199"/>
      <c r="F65" s="199"/>
      <c r="G65" s="199"/>
      <c r="H65" s="199"/>
      <c r="I65" s="199"/>
      <c r="J65" s="199"/>
      <c r="K65" s="199"/>
      <c r="L65" s="199"/>
      <c r="M65" s="199"/>
      <c r="N65" s="199"/>
      <c r="O65" s="245"/>
      <c r="P65" s="199"/>
      <c r="Q65" s="199"/>
      <c r="R65" s="199"/>
      <c r="S65" s="199"/>
      <c r="T65" s="199"/>
      <c r="U65" s="199"/>
      <c r="V65" s="199"/>
      <c r="W65" s="199"/>
      <c r="X65" s="199"/>
      <c r="Y65" s="199"/>
      <c r="Z65" s="199"/>
      <c r="AA65" s="199"/>
      <c r="AB65" s="199"/>
      <c r="AC65" s="199"/>
      <c r="AD65" s="199"/>
      <c r="AE65" s="199"/>
    </row>
    <row r="66" spans="1:31" ht="15" hidden="1">
      <c r="A66" s="199"/>
      <c r="B66" s="199"/>
      <c r="C66" s="199"/>
      <c r="D66" s="199"/>
      <c r="E66" s="199"/>
      <c r="F66" s="199"/>
      <c r="G66" s="199"/>
      <c r="H66" s="199"/>
      <c r="I66" s="199"/>
      <c r="J66" s="199"/>
      <c r="K66" s="199"/>
      <c r="L66" s="199"/>
      <c r="M66" s="199"/>
      <c r="N66" s="199"/>
      <c r="O66" s="245"/>
      <c r="P66" s="199"/>
      <c r="Q66" s="199"/>
      <c r="R66" s="199"/>
      <c r="S66" s="199"/>
      <c r="T66" s="199"/>
      <c r="U66" s="199"/>
      <c r="V66" s="199"/>
      <c r="W66" s="199"/>
      <c r="X66" s="199"/>
      <c r="Y66" s="199"/>
      <c r="Z66" s="199"/>
      <c r="AA66" s="199"/>
      <c r="AB66" s="199"/>
      <c r="AC66" s="199"/>
      <c r="AD66" s="199"/>
      <c r="AE66" s="199"/>
    </row>
    <row r="67" spans="1:31" ht="15">
      <c r="A67" s="199"/>
      <c r="B67" s="199"/>
      <c r="C67" s="199"/>
      <c r="D67" s="199"/>
      <c r="E67" s="199"/>
      <c r="F67" s="199"/>
      <c r="G67" s="199"/>
      <c r="H67" s="199"/>
      <c r="I67" s="199"/>
      <c r="J67" s="199"/>
      <c r="K67" s="199"/>
      <c r="L67" s="199"/>
      <c r="M67" s="199"/>
      <c r="N67" s="199"/>
      <c r="O67" s="245"/>
      <c r="P67" s="199"/>
      <c r="Q67" s="199"/>
      <c r="R67" s="199"/>
      <c r="S67" s="199"/>
      <c r="T67" s="199"/>
      <c r="U67" s="199"/>
      <c r="V67" s="199"/>
      <c r="W67" s="199"/>
      <c r="X67" s="199"/>
      <c r="Y67" s="199"/>
      <c r="Z67" s="199"/>
      <c r="AA67" s="199"/>
      <c r="AB67" s="199"/>
      <c r="AC67" s="199"/>
      <c r="AD67" s="199"/>
      <c r="AE67" s="199"/>
    </row>
    <row r="68" spans="1:31" ht="15">
      <c r="A68" s="199"/>
      <c r="B68" s="199"/>
      <c r="C68" s="199"/>
      <c r="D68" s="199"/>
      <c r="E68" s="199"/>
      <c r="F68" s="199"/>
      <c r="G68" s="199"/>
      <c r="H68" s="199"/>
      <c r="I68" s="199"/>
      <c r="J68" s="199"/>
      <c r="K68" s="199"/>
      <c r="L68" s="199"/>
      <c r="M68" s="199"/>
      <c r="N68" s="199"/>
      <c r="O68" s="245"/>
      <c r="P68" s="199"/>
      <c r="Q68" s="199"/>
      <c r="R68" s="199"/>
      <c r="S68" s="199"/>
      <c r="T68" s="199"/>
      <c r="U68" s="199"/>
      <c r="V68" s="199"/>
      <c r="W68" s="199"/>
      <c r="X68" s="199"/>
      <c r="Y68" s="199"/>
      <c r="Z68" s="199"/>
      <c r="AA68" s="199"/>
      <c r="AB68" s="199"/>
      <c r="AC68" s="199"/>
      <c r="AD68" s="199"/>
      <c r="AE68" s="199"/>
    </row>
  </sheetData>
  <sheetProtection/>
  <printOptions/>
  <pageMargins left="0.7" right="0.7" top="0.75" bottom="0.75" header="0.3" footer="0.3"/>
  <pageSetup horizontalDpi="600" verticalDpi="600" orientation="portrait"/>
  <drawing r:id="rId3"/>
  <legacyDrawing r:id="rId2"/>
</worksheet>
</file>

<file path=xl/worksheets/sheet13.xml><?xml version="1.0" encoding="utf-8"?>
<worksheet xmlns="http://schemas.openxmlformats.org/spreadsheetml/2006/main" xmlns:r="http://schemas.openxmlformats.org/officeDocument/2006/relationships">
  <dimension ref="A1:AM98"/>
  <sheetViews>
    <sheetView showGridLines="0" showRowColHeaders="0" zoomScalePageLayoutView="0" workbookViewId="0" topLeftCell="A1">
      <selection activeCell="E11" sqref="E11"/>
    </sheetView>
  </sheetViews>
  <sheetFormatPr defaultColWidth="14.57421875" defaultRowHeight="14.25" customHeight="1"/>
  <cols>
    <col min="1" max="1" width="2.7109375" style="119" customWidth="1"/>
    <col min="2" max="2" width="4.28125" style="102" customWidth="1"/>
    <col min="3" max="3" width="50.7109375" style="102" customWidth="1"/>
    <col min="4" max="4" width="5.421875" style="102" customWidth="1"/>
    <col min="5" max="5" width="38.7109375" style="102" customWidth="1"/>
    <col min="6" max="8" width="15.7109375" style="102" customWidth="1"/>
    <col min="9" max="26" width="15.7109375" style="125" customWidth="1"/>
    <col min="27" max="35" width="16.57421875" style="125" customWidth="1"/>
    <col min="36" max="16384" width="14.57421875" style="125" customWidth="1"/>
  </cols>
  <sheetData>
    <row r="1" spans="2:13" s="69" customFormat="1" ht="28.5">
      <c r="B1" s="18" t="str">
        <f>A98</f>
        <v>ANÁLISIS DEL NEGOCIO</v>
      </c>
      <c r="C1" s="53"/>
      <c r="D1" s="60"/>
      <c r="E1" s="60"/>
      <c r="F1" s="60"/>
      <c r="G1" s="60"/>
      <c r="H1" s="60"/>
      <c r="I1" s="60"/>
      <c r="J1" s="60"/>
      <c r="K1" s="60"/>
      <c r="L1" s="60"/>
      <c r="M1" s="60"/>
    </row>
    <row r="2" spans="2:9" s="84" customFormat="1" ht="6.75" customHeight="1">
      <c r="B2" s="130"/>
      <c r="C2" s="29"/>
      <c r="D2" s="94"/>
      <c r="E2" s="131"/>
      <c r="F2" s="2"/>
      <c r="G2" s="104"/>
      <c r="H2" s="61"/>
      <c r="I2" s="61"/>
    </row>
    <row r="3" spans="2:9" s="43" customFormat="1" ht="14.25" customHeight="1">
      <c r="B3" s="56" t="str">
        <f>CONCATENATE(A96,Introducción!E17)</f>
        <v>Los valores monetarios se encuentran expresados en Dólares</v>
      </c>
      <c r="C3" s="56"/>
      <c r="D3" s="16"/>
      <c r="E3" s="16"/>
      <c r="F3" s="16"/>
      <c r="G3" s="16"/>
      <c r="H3" s="16"/>
      <c r="I3" s="16"/>
    </row>
    <row r="4" spans="2:9" s="84" customFormat="1" ht="9" customHeight="1">
      <c r="B4" s="130"/>
      <c r="C4" s="29"/>
      <c r="D4" s="94"/>
      <c r="E4" s="131"/>
      <c r="F4" s="2"/>
      <c r="G4" s="104"/>
      <c r="H4" s="61"/>
      <c r="I4" s="61"/>
    </row>
    <row r="5" spans="2:9" s="118" customFormat="1" ht="18.75">
      <c r="B5" s="134" t="str">
        <f>A67</f>
        <v>GANANCIA TOTAL DEL NEGOCIO</v>
      </c>
      <c r="C5" s="31"/>
      <c r="D5" s="46"/>
      <c r="E5" s="22">
        <f>'Flujo de Caja'!AD40</f>
        <v>52620.033333333355</v>
      </c>
      <c r="G5" s="137"/>
      <c r="H5" s="91"/>
      <c r="I5" s="91"/>
    </row>
    <row r="6" spans="2:9" s="135" customFormat="1" ht="25.5">
      <c r="B6" s="50"/>
      <c r="C6" s="42" t="str">
        <f>A68</f>
        <v>Representa la ganancia (o pérdida) que genera el negocio a lo largo de los 5 años.</v>
      </c>
      <c r="D6" s="42"/>
      <c r="E6" s="51"/>
      <c r="G6" s="10"/>
      <c r="H6" s="107"/>
      <c r="I6" s="107"/>
    </row>
    <row r="7" spans="2:9" s="84" customFormat="1" ht="9.75" customHeight="1">
      <c r="B7" s="87"/>
      <c r="C7" s="128"/>
      <c r="D7" s="33"/>
      <c r="E7" s="73"/>
      <c r="F7" s="2"/>
      <c r="G7" s="104"/>
      <c r="H7" s="61"/>
      <c r="I7" s="61"/>
    </row>
    <row r="8" spans="2:9" s="118" customFormat="1" ht="19.5" customHeight="1">
      <c r="B8" s="134" t="str">
        <f>A70</f>
        <v>FINANCIAMIENTO NECESARIO</v>
      </c>
      <c r="C8" s="31"/>
      <c r="D8" s="46"/>
      <c r="E8" s="100">
        <f>IF(MIN('Flujo de Caja'!B40:AD40)&gt;=0,A65,-MIN('Flujo de Caja'!B40:AD40))</f>
        <v>24874.347222222223</v>
      </c>
      <c r="G8" s="137"/>
      <c r="H8" s="91"/>
      <c r="I8" s="91"/>
    </row>
    <row r="9" spans="2:9" s="118" customFormat="1" ht="38.25">
      <c r="B9" s="134"/>
      <c r="C9" s="48" t="str">
        <f>A71</f>
        <v>Representa el financiamiento que necesita el negocio para que en ningún momento tenga caja negativa.</v>
      </c>
      <c r="D9" s="46"/>
      <c r="E9" s="100"/>
      <c r="G9" s="137"/>
      <c r="H9" s="91"/>
      <c r="I9" s="91"/>
    </row>
    <row r="10" spans="2:9" s="84" customFormat="1" ht="11.25" customHeight="1">
      <c r="B10" s="87"/>
      <c r="C10" s="128"/>
      <c r="D10" s="33"/>
      <c r="E10" s="9"/>
      <c r="F10" s="2"/>
      <c r="G10" s="104"/>
      <c r="H10" s="61"/>
      <c r="I10" s="61"/>
    </row>
    <row r="11" spans="2:9" s="118" customFormat="1" ht="19.5" customHeight="1">
      <c r="B11" s="134" t="str">
        <f>A73</f>
        <v>MESES PARA PODER DEVOLVER EL FINANCIAMIENTO</v>
      </c>
      <c r="C11" s="31"/>
      <c r="D11" s="46"/>
      <c r="E11" s="68">
        <f>IF(MIN('Flujo de Caja'!B40:AD40)&gt;=0,"-",IF(SUM('Flujo de Caja'!B41:AD41)=60,"No se recupera la inversión",SUM('Flujo de Caja'!B41:AD41)))</f>
        <v>24</v>
      </c>
      <c r="G11" s="137"/>
      <c r="H11" s="91"/>
      <c r="I11" s="91"/>
    </row>
    <row r="12" spans="2:9" s="118" customFormat="1" ht="28.5" customHeight="1">
      <c r="B12" s="134"/>
      <c r="C12" s="48" t="str">
        <f>A74</f>
        <v>Son los meses que necesita el negocio para estar en condiciones de devolver el financiamiento necesario.</v>
      </c>
      <c r="D12" s="46"/>
      <c r="E12" s="5"/>
      <c r="G12" s="137"/>
      <c r="H12" s="91"/>
      <c r="I12" s="91"/>
    </row>
    <row r="13" spans="2:9" s="84" customFormat="1" ht="19.5" customHeight="1">
      <c r="B13" s="130"/>
      <c r="C13" s="29"/>
      <c r="D13" s="94"/>
      <c r="E13" s="131"/>
      <c r="F13" s="2"/>
      <c r="G13" s="104"/>
      <c r="H13" s="61"/>
      <c r="I13" s="61"/>
    </row>
    <row r="14" spans="2:9" s="118" customFormat="1" ht="19.5" customHeight="1">
      <c r="B14" s="134" t="str">
        <f>A76</f>
        <v>RENTABILIDAD DEL NEGOCIO (TIR)</v>
      </c>
      <c r="C14" s="31"/>
      <c r="D14" s="46"/>
      <c r="E14" s="22"/>
      <c r="G14" s="137"/>
      <c r="H14" s="91"/>
      <c r="I14" s="91"/>
    </row>
    <row r="15" spans="2:9" s="135" customFormat="1" ht="36.75" customHeight="1">
      <c r="B15" s="50"/>
      <c r="C15" s="42" t="str">
        <f aca="true" t="shared" si="0" ref="C15:C23">A77</f>
        <v>La TIR (Tasa Interna de Retorno) es una fórmula que calcula la rentabilidad de un negocio en base a su flujo de caja.</v>
      </c>
      <c r="D15" s="42"/>
      <c r="E15" s="12"/>
      <c r="G15" s="10"/>
      <c r="H15" s="107"/>
      <c r="I15" s="107"/>
    </row>
    <row r="16" spans="2:9" s="75" customFormat="1" ht="15.75">
      <c r="B16" s="134"/>
      <c r="C16" s="134" t="str">
        <f t="shared" si="0"/>
        <v>TIR sin perpetuidad</v>
      </c>
      <c r="D16" s="34"/>
      <c r="E16" s="79">
        <f>IF(ISERROR(IRR(G51:L51)),A66,IRR(G51:L51))</f>
        <v>0.6833393309555084</v>
      </c>
      <c r="G16" s="98"/>
      <c r="H16" s="52"/>
      <c r="I16" s="52"/>
    </row>
    <row r="17" spans="2:9" s="135" customFormat="1" ht="25.5">
      <c r="B17" s="66"/>
      <c r="C17" s="42" t="str">
        <f t="shared" si="0"/>
        <v>Considera que el flujo de caja del negocio finaliza al año 5.</v>
      </c>
      <c r="D17" s="108"/>
      <c r="E17" s="12"/>
      <c r="G17" s="10"/>
      <c r="H17" s="107"/>
      <c r="I17" s="107"/>
    </row>
    <row r="18" spans="2:9" s="75" customFormat="1" ht="19.5" customHeight="1">
      <c r="B18" s="134"/>
      <c r="C18" s="134" t="str">
        <f t="shared" si="0"/>
        <v>TIR con perpetuidad</v>
      </c>
      <c r="D18" s="34"/>
      <c r="E18" s="79">
        <f>IF(ISERROR(IRR(G52:L52)),"",IRR(G52:L52))</f>
        <v>0.7840654212629884</v>
      </c>
      <c r="G18" s="98"/>
      <c r="H18" s="52"/>
      <c r="I18" s="52"/>
    </row>
    <row r="19" spans="2:9" s="135" customFormat="1" ht="32.25" customHeight="1">
      <c r="B19" s="66"/>
      <c r="C19" s="42" t="str">
        <f t="shared" si="0"/>
        <v>Considera que el flujo de caja del año 5 se repite a perpetuidad en los años posteriores.</v>
      </c>
      <c r="D19" s="108"/>
      <c r="E19" s="12"/>
      <c r="G19" s="10"/>
      <c r="H19" s="107"/>
      <c r="I19" s="107"/>
    </row>
    <row r="20" spans="2:9" s="75" customFormat="1" ht="19.5" customHeight="1">
      <c r="B20" s="134"/>
      <c r="C20" s="134" t="str">
        <f t="shared" si="0"/>
        <v>TIR ácida sin perpetuidad</v>
      </c>
      <c r="D20" s="34"/>
      <c r="E20" s="79">
        <f>IF(ISERROR(IRR(F53:L53)),"",IRR(F53:L53))</f>
        <v>0.40213143172612953</v>
      </c>
      <c r="G20" s="98"/>
      <c r="H20" s="52"/>
      <c r="I20" s="52"/>
    </row>
    <row r="21" spans="2:9" s="135" customFormat="1" ht="38.25">
      <c r="B21" s="66"/>
      <c r="C21" s="42" t="str">
        <f t="shared" si="0"/>
        <v>Considera: a) que las inversiones necesarias en cada año se realizan al inicio de ese año; y b) que el flujo de caja del negocio finaliza al año 5.</v>
      </c>
      <c r="D21" s="108"/>
      <c r="E21" s="12"/>
      <c r="G21" s="10"/>
      <c r="H21" s="107"/>
      <c r="I21" s="107"/>
    </row>
    <row r="22" spans="2:9" s="75" customFormat="1" ht="19.5" customHeight="1">
      <c r="B22" s="134"/>
      <c r="C22" s="134" t="str">
        <f t="shared" si="0"/>
        <v>TIR ácida con perpetuidad</v>
      </c>
      <c r="D22" s="34"/>
      <c r="E22" s="79">
        <f>IF(ISERROR(IRR(F54:L54)),"",IRR(F54:L54))</f>
        <v>0.43643651313249127</v>
      </c>
      <c r="G22" s="98"/>
      <c r="H22" s="52"/>
      <c r="I22" s="52"/>
    </row>
    <row r="23" spans="2:9" s="135" customFormat="1" ht="51">
      <c r="B23" s="66"/>
      <c r="C23" s="42" t="str">
        <f t="shared" si="0"/>
        <v>Considera: a) que las inversiones necesarias en cada año se realizan al inicio de ese año; y b) que el flujo de caja del año 5 se repite a perpetuidad en los años posteriores.</v>
      </c>
      <c r="D23" s="108"/>
      <c r="E23" s="12"/>
      <c r="G23" s="10"/>
      <c r="H23" s="107"/>
      <c r="I23" s="107"/>
    </row>
    <row r="24" spans="2:9" s="84" customFormat="1" ht="19.5" customHeight="1">
      <c r="B24" s="130"/>
      <c r="C24" s="29"/>
      <c r="D24" s="94"/>
      <c r="E24" s="131"/>
      <c r="F24" s="2"/>
      <c r="G24" s="104"/>
      <c r="H24" s="61"/>
      <c r="I24" s="61"/>
    </row>
    <row r="25" spans="2:9" s="118" customFormat="1" ht="18.75">
      <c r="B25" s="134" t="str">
        <f>A87</f>
        <v>VALOR DEL NEGOCIO (VAN)</v>
      </c>
      <c r="C25" s="31"/>
      <c r="D25" s="22"/>
      <c r="E25" s="22"/>
      <c r="G25" s="137"/>
      <c r="H25" s="91"/>
      <c r="I25" s="91"/>
    </row>
    <row r="26" spans="2:9" s="135" customFormat="1" ht="38.25">
      <c r="B26" s="50"/>
      <c r="C26" s="42" t="str">
        <f aca="true" t="shared" si="1" ref="C26:C32">A88</f>
        <v>El VAN (Valor Actual Neto) es una fórmula que calcula el valor de un negocio en base a su flujo de caja y la tasa de descuento.</v>
      </c>
      <c r="D26" s="42"/>
      <c r="E26" s="51"/>
      <c r="G26" s="10"/>
      <c r="H26" s="107"/>
      <c r="I26" s="107"/>
    </row>
    <row r="27" spans="2:9" s="75" customFormat="1" ht="19.5" customHeight="1">
      <c r="B27" s="134"/>
      <c r="C27" s="134" t="str">
        <f t="shared" si="1"/>
        <v>Tasa de descuento</v>
      </c>
      <c r="D27" s="34"/>
      <c r="E27" s="105">
        <v>0.15</v>
      </c>
      <c r="G27" s="98"/>
      <c r="H27" s="52"/>
      <c r="I27" s="52"/>
    </row>
    <row r="28" spans="2:9" s="135" customFormat="1" ht="25.5">
      <c r="B28" s="66"/>
      <c r="C28" s="42" t="str">
        <f t="shared" si="1"/>
        <v>Es la tasa a la que se descuenta el flujo de caja para calcular el VAN.</v>
      </c>
      <c r="D28" s="108"/>
      <c r="E28" s="12"/>
      <c r="G28" s="10"/>
      <c r="H28" s="107"/>
      <c r="I28" s="107"/>
    </row>
    <row r="29" spans="2:9" s="75" customFormat="1" ht="19.5" customHeight="1">
      <c r="B29" s="134"/>
      <c r="C29" s="134" t="str">
        <f t="shared" si="1"/>
        <v>VAN sin perpetuidad</v>
      </c>
      <c r="D29" s="34"/>
      <c r="E29" s="92">
        <f>NPV(E27,G50:K50)</f>
        <v>25551.492618815817</v>
      </c>
      <c r="G29" s="98"/>
      <c r="H29" s="52"/>
      <c r="I29" s="52"/>
    </row>
    <row r="30" spans="2:9" s="135" customFormat="1" ht="25.5">
      <c r="B30" s="66"/>
      <c r="C30" s="42" t="str">
        <f t="shared" si="1"/>
        <v>Considera que el flujo de caja del negocio finaliza al año 5.</v>
      </c>
      <c r="D30" s="108"/>
      <c r="E30" s="12"/>
      <c r="G30" s="10"/>
      <c r="H30" s="107"/>
      <c r="I30" s="107"/>
    </row>
    <row r="31" spans="2:9" s="75" customFormat="1" ht="19.5" customHeight="1">
      <c r="B31" s="134"/>
      <c r="C31" s="134" t="str">
        <f t="shared" si="1"/>
        <v>VAN con perpetuidad</v>
      </c>
      <c r="D31" s="34"/>
      <c r="E31" s="92">
        <f>NPV(E27,G50:L50)</f>
        <v>42930.37166654789</v>
      </c>
      <c r="G31" s="98"/>
      <c r="H31" s="52"/>
      <c r="I31" s="52"/>
    </row>
    <row r="32" spans="2:9" s="135" customFormat="1" ht="25.5">
      <c r="B32" s="66"/>
      <c r="C32" s="42" t="str">
        <f t="shared" si="1"/>
        <v>Considera que el flujo de caja del año 5 se repite a perpetuidad en los años posteriores.</v>
      </c>
      <c r="D32" s="108"/>
      <c r="E32" s="15"/>
      <c r="G32" s="10"/>
      <c r="H32" s="107"/>
      <c r="I32" s="107"/>
    </row>
    <row r="34" spans="2:12" ht="14.25" customHeight="1">
      <c r="B34" s="337"/>
      <c r="C34" s="337"/>
      <c r="D34" s="337"/>
      <c r="E34" s="70"/>
      <c r="G34" s="103"/>
      <c r="H34" s="57"/>
      <c r="I34" s="57"/>
      <c r="J34" s="57"/>
      <c r="K34" s="57"/>
      <c r="L34" s="57"/>
    </row>
    <row r="38" spans="4:39" s="65" customFormat="1" ht="15.75" hidden="1">
      <c r="D38" s="111"/>
      <c r="E38" s="64"/>
      <c r="F38" s="40"/>
      <c r="G38" s="36">
        <f>'Flujo de Caja'!N1</f>
        <v>2016</v>
      </c>
      <c r="H38" s="36">
        <f>'Flujo de Caja'!AA1</f>
        <v>2017</v>
      </c>
      <c r="I38" s="36">
        <f>'Flujo de Caja'!AB1</f>
        <v>2018</v>
      </c>
      <c r="J38" s="36">
        <f>'Flujo de Caja'!AC1</f>
        <v>2019</v>
      </c>
      <c r="K38" s="36">
        <f>'Flujo de Caja'!AD1</f>
        <v>2020</v>
      </c>
      <c r="M38" s="83">
        <f>'Flujo de Caja'!B1</f>
        <v>42370</v>
      </c>
      <c r="N38" s="83">
        <f>'Flujo de Caja'!C1</f>
        <v>42401</v>
      </c>
      <c r="O38" s="83">
        <f>'Flujo de Caja'!D1</f>
        <v>42430</v>
      </c>
      <c r="P38" s="83">
        <f>'Flujo de Caja'!E1</f>
        <v>42461</v>
      </c>
      <c r="Q38" s="83">
        <f>'Flujo de Caja'!F1</f>
        <v>42491</v>
      </c>
      <c r="R38" s="83">
        <f>'Flujo de Caja'!G1</f>
        <v>42522</v>
      </c>
      <c r="S38" s="83">
        <f>'Flujo de Caja'!H1</f>
        <v>42552</v>
      </c>
      <c r="T38" s="83">
        <f>'Flujo de Caja'!I1</f>
        <v>42583</v>
      </c>
      <c r="U38" s="83">
        <f>'Flujo de Caja'!J1</f>
        <v>42614</v>
      </c>
      <c r="V38" s="83">
        <f>'Flujo de Caja'!K1</f>
        <v>42644</v>
      </c>
      <c r="W38" s="83">
        <f>'Flujo de Caja'!L1</f>
        <v>42675</v>
      </c>
      <c r="X38" s="83">
        <f>'Flujo de Caja'!M1</f>
        <v>42705</v>
      </c>
      <c r="Y38" s="83">
        <f>'Flujo de Caja'!O1</f>
        <v>42736</v>
      </c>
      <c r="Z38" s="83">
        <f>'Flujo de Caja'!P1</f>
        <v>42767</v>
      </c>
      <c r="AA38" s="83">
        <f>'Flujo de Caja'!Q1</f>
        <v>42795</v>
      </c>
      <c r="AB38" s="83">
        <f>'Flujo de Caja'!R1</f>
        <v>42826</v>
      </c>
      <c r="AC38" s="83">
        <f>'Flujo de Caja'!S1</f>
        <v>42856</v>
      </c>
      <c r="AD38" s="83">
        <f>'Flujo de Caja'!T1</f>
        <v>42887</v>
      </c>
      <c r="AE38" s="83">
        <f>'Flujo de Caja'!U1</f>
        <v>42917</v>
      </c>
      <c r="AF38" s="83">
        <f>'Flujo de Caja'!V1</f>
        <v>42948</v>
      </c>
      <c r="AG38" s="83">
        <f>'Flujo de Caja'!W1</f>
        <v>42979</v>
      </c>
      <c r="AH38" s="83">
        <f>'Flujo de Caja'!X1</f>
        <v>43009</v>
      </c>
      <c r="AI38" s="83">
        <f>'Flujo de Caja'!Y1</f>
        <v>43040</v>
      </c>
      <c r="AJ38" s="83">
        <f>'Flujo de Caja'!Z1</f>
        <v>43070</v>
      </c>
      <c r="AL38" s="113"/>
      <c r="AM38" s="113"/>
    </row>
    <row r="39" spans="4:11" s="65" customFormat="1" ht="12.75" hidden="1">
      <c r="D39" s="45"/>
      <c r="E39" s="35"/>
      <c r="F39" s="35"/>
      <c r="G39" s="35"/>
      <c r="H39" s="35"/>
      <c r="I39" s="35"/>
      <c r="J39" s="35"/>
      <c r="K39" s="35"/>
    </row>
    <row r="40" spans="1:36" s="110" customFormat="1" ht="12.75" hidden="1">
      <c r="A40" s="110" t="s">
        <v>46</v>
      </c>
      <c r="D40" s="86" t="str">
        <f>A40&amp;" ("&amp;Introducción!E17&amp;")"</f>
        <v>Ventas (Dólares)</v>
      </c>
      <c r="E40" s="77"/>
      <c r="F40" s="77"/>
      <c r="G40" s="77">
        <f>'Flujo de Caja'!N5</f>
        <v>168000</v>
      </c>
      <c r="H40" s="77">
        <f>'Flujo de Caja'!AA5</f>
        <v>225000</v>
      </c>
      <c r="I40" s="77">
        <f>'Flujo de Caja'!AB5</f>
        <v>248220</v>
      </c>
      <c r="J40" s="77">
        <f>'Flujo de Caja'!AC5</f>
        <v>289450</v>
      </c>
      <c r="K40" s="77">
        <f>'Flujo de Caja'!AD5</f>
        <v>364560</v>
      </c>
      <c r="M40" s="110">
        <f>'Flujo de Caja'!B5</f>
        <v>14000</v>
      </c>
      <c r="N40" s="110">
        <f>'Flujo de Caja'!C5</f>
        <v>14000</v>
      </c>
      <c r="O40" s="110">
        <f>'Flujo de Caja'!D5</f>
        <v>14000</v>
      </c>
      <c r="P40" s="110">
        <f>'Flujo de Caja'!E5</f>
        <v>14000</v>
      </c>
      <c r="Q40" s="110">
        <f>'Flujo de Caja'!F5</f>
        <v>14000</v>
      </c>
      <c r="R40" s="110">
        <f>'Flujo de Caja'!G5</f>
        <v>14000</v>
      </c>
      <c r="S40" s="110">
        <f>'Flujo de Caja'!H5</f>
        <v>14000</v>
      </c>
      <c r="T40" s="110">
        <f>'Flujo de Caja'!I5</f>
        <v>14000</v>
      </c>
      <c r="U40" s="110">
        <f>'Flujo de Caja'!J5</f>
        <v>14000</v>
      </c>
      <c r="V40" s="110">
        <f>'Flujo de Caja'!K5</f>
        <v>14000</v>
      </c>
      <c r="W40" s="110">
        <f>'Flujo de Caja'!L5</f>
        <v>14000</v>
      </c>
      <c r="X40" s="110">
        <f>'Flujo de Caja'!M5</f>
        <v>14000</v>
      </c>
      <c r="Y40" s="110">
        <f>'Flujo de Caja'!O5</f>
        <v>18750</v>
      </c>
      <c r="Z40" s="110">
        <f>'Flujo de Caja'!P5</f>
        <v>18750</v>
      </c>
      <c r="AA40" s="110">
        <f>'Flujo de Caja'!Q5</f>
        <v>18750</v>
      </c>
      <c r="AB40" s="110">
        <f>'Flujo de Caja'!R5</f>
        <v>18750</v>
      </c>
      <c r="AC40" s="110">
        <f>'Flujo de Caja'!S5</f>
        <v>18750</v>
      </c>
      <c r="AD40" s="110">
        <f>'Flujo de Caja'!T5</f>
        <v>18750</v>
      </c>
      <c r="AE40" s="110">
        <f>'Flujo de Caja'!U5</f>
        <v>18750</v>
      </c>
      <c r="AF40" s="110">
        <f>'Flujo de Caja'!V5</f>
        <v>18750</v>
      </c>
      <c r="AG40" s="110">
        <f>'Flujo de Caja'!W5</f>
        <v>18750</v>
      </c>
      <c r="AH40" s="110">
        <f>'Flujo de Caja'!X5</f>
        <v>18750</v>
      </c>
      <c r="AI40" s="110">
        <f>'Flujo de Caja'!Y5</f>
        <v>18750</v>
      </c>
      <c r="AJ40" s="110">
        <f>'Flujo de Caja'!Z5</f>
        <v>18750</v>
      </c>
    </row>
    <row r="41" spans="1:36" s="110" customFormat="1" ht="12.75" hidden="1">
      <c r="A41" s="110" t="s">
        <v>226</v>
      </c>
      <c r="D41" s="86" t="str">
        <f>A41&amp;" ("&amp;Introducción!E17&amp;")"</f>
        <v>Ganancias (Dólares)</v>
      </c>
      <c r="E41" s="77"/>
      <c r="F41" s="77"/>
      <c r="G41" s="77">
        <f>'Estado Resultados'!N17</f>
        <v>5968.666666666665</v>
      </c>
      <c r="H41" s="77">
        <f>'Estado Resultados'!AA17</f>
        <v>14637.583333333334</v>
      </c>
      <c r="I41" s="77">
        <f>'Estado Resultados'!AB17</f>
        <v>17773.583333333332</v>
      </c>
      <c r="J41" s="77">
        <f>'Estado Resultados'!AC17</f>
        <v>18364.38333333333</v>
      </c>
      <c r="K41" s="77">
        <f>'Estado Resultados'!AD17</f>
        <v>25229.983333333355</v>
      </c>
      <c r="M41" s="110">
        <f>'Estado Resultados'!B17</f>
        <v>497.38888888888886</v>
      </c>
      <c r="N41" s="110">
        <f>'Estado Resultados'!C17</f>
        <v>497.38888888888886</v>
      </c>
      <c r="O41" s="110">
        <f>'Estado Resultados'!D17</f>
        <v>497.38888888888886</v>
      </c>
      <c r="P41" s="110">
        <f>'Estado Resultados'!E17</f>
        <v>497.38888888888886</v>
      </c>
      <c r="Q41" s="110">
        <f>'Estado Resultados'!F17</f>
        <v>497.38888888888886</v>
      </c>
      <c r="R41" s="110">
        <f>'Estado Resultados'!G17</f>
        <v>497.38888888888886</v>
      </c>
      <c r="S41" s="110">
        <f>'Estado Resultados'!H17</f>
        <v>497.38888888888886</v>
      </c>
      <c r="T41" s="110">
        <f>'Estado Resultados'!I17</f>
        <v>497.38888888888886</v>
      </c>
      <c r="U41" s="110">
        <f>'Estado Resultados'!J17</f>
        <v>497.38888888888886</v>
      </c>
      <c r="V41" s="110">
        <f>'Estado Resultados'!K17</f>
        <v>497.38888888888886</v>
      </c>
      <c r="W41" s="110">
        <f>'Estado Resultados'!L17</f>
        <v>497.38888888888886</v>
      </c>
      <c r="X41" s="110">
        <f>'Estado Resultados'!M17</f>
        <v>497.38888888888886</v>
      </c>
      <c r="Y41" s="110">
        <f>'Estado Resultados'!O17</f>
        <v>1219.798611111111</v>
      </c>
      <c r="Z41" s="110">
        <f>'Estado Resultados'!P17</f>
        <v>1219.798611111111</v>
      </c>
      <c r="AA41" s="110">
        <f>'Estado Resultados'!Q17</f>
        <v>1219.798611111111</v>
      </c>
      <c r="AB41" s="110">
        <f>'Estado Resultados'!R17</f>
        <v>1219.798611111111</v>
      </c>
      <c r="AC41" s="110">
        <f>'Estado Resultados'!S17</f>
        <v>1219.798611111111</v>
      </c>
      <c r="AD41" s="110">
        <f>'Estado Resultados'!T17</f>
        <v>1219.798611111111</v>
      </c>
      <c r="AE41" s="110">
        <f>'Estado Resultados'!U17</f>
        <v>1219.798611111111</v>
      </c>
      <c r="AF41" s="110">
        <f>'Estado Resultados'!V17</f>
        <v>1219.798611111111</v>
      </c>
      <c r="AG41" s="110">
        <f>'Estado Resultados'!W17</f>
        <v>1219.798611111111</v>
      </c>
      <c r="AH41" s="110">
        <f>'Estado Resultados'!X17</f>
        <v>1219.798611111111</v>
      </c>
      <c r="AI41" s="110">
        <f>'Estado Resultados'!Y17</f>
        <v>1219.798611111111</v>
      </c>
      <c r="AJ41" s="110">
        <f>'Estado Resultados'!Z17</f>
        <v>1219.798611111111</v>
      </c>
    </row>
    <row r="42" spans="1:36" s="110" customFormat="1" ht="12.75" hidden="1">
      <c r="A42" s="110" t="s">
        <v>51</v>
      </c>
      <c r="D42" s="86" t="str">
        <f>A42&amp;" ("&amp;Introducción!E17&amp;")"</f>
        <v>Flujo de caja libre (Dólares)</v>
      </c>
      <c r="E42" s="77"/>
      <c r="F42" s="77"/>
      <c r="G42" s="77">
        <f>'Flujo de Caja'!N21</f>
        <v>-17992.166666666664</v>
      </c>
      <c r="H42" s="77">
        <f>'Flujo de Caja'!AA21</f>
        <v>9526.750000000004</v>
      </c>
      <c r="I42" s="77">
        <f>'Flujo de Caja'!AB21</f>
        <v>13012.75</v>
      </c>
      <c r="J42" s="77">
        <f>'Flujo de Caja'!AC21</f>
        <v>20603.550000000003</v>
      </c>
      <c r="K42" s="77">
        <f>'Flujo de Caja'!AD21</f>
        <v>27469.15000000002</v>
      </c>
      <c r="M42" s="110">
        <f>'Flujo de Caja'!B21</f>
        <v>-24874.347222222223</v>
      </c>
      <c r="N42" s="110">
        <f>'Flujo de Caja'!C21</f>
        <v>625.6527777777778</v>
      </c>
      <c r="O42" s="110">
        <f>'Flujo de Caja'!D21</f>
        <v>625.6527777777778</v>
      </c>
      <c r="P42" s="110">
        <f>'Flujo de Caja'!E21</f>
        <v>625.6527777777778</v>
      </c>
      <c r="Q42" s="110">
        <f>'Flujo de Caja'!F21</f>
        <v>625.6527777777778</v>
      </c>
      <c r="R42" s="110">
        <f>'Flujo de Caja'!G21</f>
        <v>625.6527777777778</v>
      </c>
      <c r="S42" s="110">
        <f>'Flujo de Caja'!H21</f>
        <v>625.6527777777778</v>
      </c>
      <c r="T42" s="110">
        <f>'Flujo de Caja'!I21</f>
        <v>625.6527777777778</v>
      </c>
      <c r="U42" s="110">
        <f>'Flujo de Caja'!J21</f>
        <v>625.6527777777778</v>
      </c>
      <c r="V42" s="110">
        <f>'Flujo de Caja'!K21</f>
        <v>625.6527777777778</v>
      </c>
      <c r="W42" s="110">
        <f>'Flujo de Caja'!L21</f>
        <v>625.6527777777778</v>
      </c>
      <c r="X42" s="110">
        <f>'Flujo de Caja'!M21</f>
        <v>625.6527777777778</v>
      </c>
      <c r="Y42" s="110">
        <f>'Flujo de Caja'!O21</f>
        <v>-5622.770833333333</v>
      </c>
      <c r="Z42" s="110">
        <f>'Flujo de Caja'!P21</f>
        <v>1377.2291666666667</v>
      </c>
      <c r="AA42" s="110">
        <f>'Flujo de Caja'!Q21</f>
        <v>1377.2291666666667</v>
      </c>
      <c r="AB42" s="110">
        <f>'Flujo de Caja'!R21</f>
        <v>1377.2291666666667</v>
      </c>
      <c r="AC42" s="110">
        <f>'Flujo de Caja'!S21</f>
        <v>1377.2291666666667</v>
      </c>
      <c r="AD42" s="110">
        <f>'Flujo de Caja'!T21</f>
        <v>1377.2291666666667</v>
      </c>
      <c r="AE42" s="110">
        <f>'Flujo de Caja'!U21</f>
        <v>1377.2291666666667</v>
      </c>
      <c r="AF42" s="110">
        <f>'Flujo de Caja'!V21</f>
        <v>1377.2291666666667</v>
      </c>
      <c r="AG42" s="110">
        <f>'Flujo de Caja'!W21</f>
        <v>1377.2291666666667</v>
      </c>
      <c r="AH42" s="110">
        <f>'Flujo de Caja'!X21</f>
        <v>1377.2291666666667</v>
      </c>
      <c r="AI42" s="110">
        <f>'Flujo de Caja'!Y21</f>
        <v>1377.2291666666667</v>
      </c>
      <c r="AJ42" s="110">
        <f>'Flujo de Caja'!Z21</f>
        <v>1377.2291666666667</v>
      </c>
    </row>
    <row r="43" spans="1:36" s="110" customFormat="1" ht="12.75" hidden="1">
      <c r="A43" s="110" t="s">
        <v>178</v>
      </c>
      <c r="D43" s="86" t="str">
        <f>A43&amp;" ("&amp;Introducción!E17&amp;")"</f>
        <v>Flujo de caja libre acumulado (Dólares)</v>
      </c>
      <c r="E43" s="77"/>
      <c r="F43" s="77"/>
      <c r="G43" s="77">
        <f>G42</f>
        <v>-17992.166666666664</v>
      </c>
      <c r="H43" s="77">
        <f>H42+G43</f>
        <v>-8465.41666666666</v>
      </c>
      <c r="I43" s="77">
        <f>I42+H43</f>
        <v>4547.333333333339</v>
      </c>
      <c r="J43" s="77">
        <f>J42+I43</f>
        <v>25150.883333333342</v>
      </c>
      <c r="K43" s="77">
        <f>K42+J43</f>
        <v>52620.03333333336</v>
      </c>
      <c r="M43" s="110">
        <f>M42</f>
        <v>-24874.347222222223</v>
      </c>
      <c r="N43" s="110">
        <f aca="true" t="shared" si="2" ref="N43:AJ43">N42+M43</f>
        <v>-24248.694444444445</v>
      </c>
      <c r="O43" s="110">
        <f t="shared" si="2"/>
        <v>-23623.041666666668</v>
      </c>
      <c r="P43" s="110">
        <f t="shared" si="2"/>
        <v>-22997.38888888889</v>
      </c>
      <c r="Q43" s="110">
        <f t="shared" si="2"/>
        <v>-22371.736111111113</v>
      </c>
      <c r="R43" s="110">
        <f t="shared" si="2"/>
        <v>-21746.083333333336</v>
      </c>
      <c r="S43" s="110">
        <f t="shared" si="2"/>
        <v>-21120.43055555556</v>
      </c>
      <c r="T43" s="110">
        <f t="shared" si="2"/>
        <v>-20494.77777777778</v>
      </c>
      <c r="U43" s="110">
        <f t="shared" si="2"/>
        <v>-19869.125000000004</v>
      </c>
      <c r="V43" s="110">
        <f t="shared" si="2"/>
        <v>-19243.472222222226</v>
      </c>
      <c r="W43" s="110">
        <f t="shared" si="2"/>
        <v>-18617.81944444445</v>
      </c>
      <c r="X43" s="110">
        <f t="shared" si="2"/>
        <v>-17992.16666666667</v>
      </c>
      <c r="Y43" s="110">
        <f t="shared" si="2"/>
        <v>-23614.937500000004</v>
      </c>
      <c r="Z43" s="110">
        <f t="shared" si="2"/>
        <v>-22237.708333333336</v>
      </c>
      <c r="AA43" s="110">
        <f t="shared" si="2"/>
        <v>-20860.479166666668</v>
      </c>
      <c r="AB43" s="110">
        <f t="shared" si="2"/>
        <v>-19483.25</v>
      </c>
      <c r="AC43" s="110">
        <f t="shared" si="2"/>
        <v>-18106.020833333332</v>
      </c>
      <c r="AD43" s="110">
        <f t="shared" si="2"/>
        <v>-16728.791666666664</v>
      </c>
      <c r="AE43" s="110">
        <f t="shared" si="2"/>
        <v>-15351.562499999998</v>
      </c>
      <c r="AF43" s="110">
        <f t="shared" si="2"/>
        <v>-13974.333333333332</v>
      </c>
      <c r="AG43" s="110">
        <f t="shared" si="2"/>
        <v>-12597.104166666666</v>
      </c>
      <c r="AH43" s="110">
        <f t="shared" si="2"/>
        <v>-11219.875</v>
      </c>
      <c r="AI43" s="110">
        <f t="shared" si="2"/>
        <v>-9842.645833333334</v>
      </c>
      <c r="AJ43" s="110">
        <f t="shared" si="2"/>
        <v>-8465.416666666668</v>
      </c>
    </row>
    <row r="44" spans="1:36" s="77" customFormat="1" ht="12.75" hidden="1">
      <c r="A44" s="77" t="s">
        <v>181</v>
      </c>
      <c r="D44" s="86" t="str">
        <f>A44&amp;" ("&amp;Introducción!E17&amp;")"</f>
        <v>Financiamiento necesario (Dólares)</v>
      </c>
      <c r="E44" s="77">
        <f>-MIN('Flujo de Caja'!B40:AD40,0)</f>
        <v>24874.347222222223</v>
      </c>
      <c r="G44" s="77">
        <f>IF(MIN('Flujo de Caja'!B40:M40)&lt;0,-MIN('Flujo de Caja'!B40:M40),0)</f>
        <v>24874.347222222223</v>
      </c>
      <c r="H44" s="77">
        <f>IF(MIN('Flujo de Caja'!O40:Z40)&lt;-G44,-MIN('Flujo de Caja'!O40:Z40)-G44,0)</f>
        <v>0</v>
      </c>
      <c r="I44" s="77">
        <f>IF('Flujo de Caja'!AB40&lt;-SUM($G44:H44),-'Flujo de Caja'!AB40-SUM($G44:H44),0)</f>
        <v>0</v>
      </c>
      <c r="J44" s="77">
        <f>IF('Flujo de Caja'!AC40&lt;-SUM($G44:I44),-'Flujo de Caja'!AC40-SUM($G44:I44),0)</f>
        <v>0</v>
      </c>
      <c r="K44" s="77">
        <f>IF('Flujo de Caja'!AD40&lt;-SUM($G44:J44),-'Flujo de Caja'!AD40-SUM($G44:J44),0)</f>
        <v>0</v>
      </c>
      <c r="M44" s="62">
        <f>IF('Flujo de Caja'!B40&lt;0,-'Flujo de Caja'!B40,0)</f>
        <v>24874.347222222223</v>
      </c>
      <c r="N44" s="62">
        <f>IF('Flujo de Caja'!C40&gt;=0,0,IF('Flujo de Caja'!C40&lt;'Flujo de Caja'!B40,MAX(0,-'Flujo de Caja'!C40-SUM($M44:M44)),0))</f>
        <v>0</v>
      </c>
      <c r="O44" s="62">
        <f>IF('Flujo de Caja'!D40&gt;=0,0,IF('Flujo de Caja'!D40&lt;'Flujo de Caja'!C40,MAX(0,-'Flujo de Caja'!D40-SUM($M44:N44)),0))</f>
        <v>0</v>
      </c>
      <c r="P44" s="62">
        <f>IF('Flujo de Caja'!E40&gt;=0,0,IF('Flujo de Caja'!E40&lt;'Flujo de Caja'!D40,MAX(0,-'Flujo de Caja'!E40-SUM($M44:O44)),0))</f>
        <v>0</v>
      </c>
      <c r="Q44" s="62">
        <f>IF('Flujo de Caja'!F40&gt;=0,0,IF('Flujo de Caja'!F40&lt;'Flujo de Caja'!E40,MAX(0,-'Flujo de Caja'!F40-SUM($M44:P44)),0))</f>
        <v>0</v>
      </c>
      <c r="R44" s="62">
        <f>IF('Flujo de Caja'!G40&gt;=0,0,IF('Flujo de Caja'!G40&lt;'Flujo de Caja'!F40,MAX(0,-'Flujo de Caja'!G40-SUM($M44:Q44)),0))</f>
        <v>0</v>
      </c>
      <c r="S44" s="62">
        <f>IF('Flujo de Caja'!H40&gt;=0,0,IF('Flujo de Caja'!H40&lt;'Flujo de Caja'!G40,MAX(0,-'Flujo de Caja'!H40-SUM($M44:R44)),0))</f>
        <v>0</v>
      </c>
      <c r="T44" s="62">
        <f>IF('Flujo de Caja'!I40&gt;=0,0,IF('Flujo de Caja'!I40&lt;'Flujo de Caja'!H40,MAX(0,-'Flujo de Caja'!I40-SUM($M44:S44)),0))</f>
        <v>0</v>
      </c>
      <c r="U44" s="62">
        <f>IF('Flujo de Caja'!J40&gt;=0,0,IF('Flujo de Caja'!J40&lt;'Flujo de Caja'!I40,MAX(0,-'Flujo de Caja'!J40-SUM($M44:T44)),0))</f>
        <v>0</v>
      </c>
      <c r="V44" s="62">
        <f>IF('Flujo de Caja'!K40&gt;=0,0,IF('Flujo de Caja'!K40&lt;'Flujo de Caja'!J40,MAX(0,-'Flujo de Caja'!K40-SUM($M44:U44)),0))</f>
        <v>0</v>
      </c>
      <c r="W44" s="62">
        <f>IF('Flujo de Caja'!L40&gt;=0,0,IF('Flujo de Caja'!L40&lt;'Flujo de Caja'!K40,MAX(0,-'Flujo de Caja'!L40-SUM($M44:V44)),0))</f>
        <v>0</v>
      </c>
      <c r="X44" s="62">
        <f>IF('Flujo de Caja'!M40&gt;=0,0,IF('Flujo de Caja'!M40&lt;'Flujo de Caja'!L40,MAX(0,-'Flujo de Caja'!M40-SUM($M44:W44)),0))</f>
        <v>0</v>
      </c>
      <c r="Y44" s="62">
        <f>IF('Flujo de Caja'!O40&gt;=0,0,IF('Flujo de Caja'!O40&lt;'Flujo de Caja'!N40,MAX(0,-'Flujo de Caja'!O40-SUM($M44:X44)),0))</f>
        <v>0</v>
      </c>
      <c r="Z44" s="62">
        <f>IF('Flujo de Caja'!P40&gt;=0,0,IF('Flujo de Caja'!P40&lt;'Flujo de Caja'!O40,MAX(0,-'Flujo de Caja'!P40-SUM($M44:Y44)),0))</f>
        <v>0</v>
      </c>
      <c r="AA44" s="62">
        <f>IF('Flujo de Caja'!Q40&gt;=0,0,IF('Flujo de Caja'!Q40&lt;'Flujo de Caja'!P40,MAX(0,-'Flujo de Caja'!Q40-SUM($M44:Z44)),0))</f>
        <v>0</v>
      </c>
      <c r="AB44" s="62">
        <f>IF('Flujo de Caja'!R40&gt;=0,0,IF('Flujo de Caja'!R40&lt;'Flujo de Caja'!Q40,MAX(0,-'Flujo de Caja'!R40-SUM($M44:AA44)),0))</f>
        <v>0</v>
      </c>
      <c r="AC44" s="62">
        <f>IF('Flujo de Caja'!S40&gt;=0,0,IF('Flujo de Caja'!S40&lt;'Flujo de Caja'!R40,MAX(0,-'Flujo de Caja'!S40-SUM($M44:AB44)),0))</f>
        <v>0</v>
      </c>
      <c r="AD44" s="62">
        <f>IF('Flujo de Caja'!T40&gt;=0,0,IF('Flujo de Caja'!T40&lt;'Flujo de Caja'!S40,MAX(0,-'Flujo de Caja'!T40-SUM($M44:AC44)),0))</f>
        <v>0</v>
      </c>
      <c r="AE44" s="62">
        <f>IF('Flujo de Caja'!U40&gt;=0,0,IF('Flujo de Caja'!U40&lt;'Flujo de Caja'!T40,MAX(0,-'Flujo de Caja'!U40-SUM($M44:AD44)),0))</f>
        <v>0</v>
      </c>
      <c r="AF44" s="62">
        <f>IF('Flujo de Caja'!V40&gt;=0,0,IF('Flujo de Caja'!V40&lt;'Flujo de Caja'!U40,MAX(0,-'Flujo de Caja'!V40-SUM($M44:AE44)),0))</f>
        <v>0</v>
      </c>
      <c r="AG44" s="62">
        <f>IF('Flujo de Caja'!W40&gt;=0,0,IF('Flujo de Caja'!W40&lt;'Flujo de Caja'!V40,MAX(0,-'Flujo de Caja'!W40-SUM($M44:AF44)),0))</f>
        <v>0</v>
      </c>
      <c r="AH44" s="62">
        <f>IF('Flujo de Caja'!X40&gt;=0,0,IF('Flujo de Caja'!X40&lt;'Flujo de Caja'!W40,MAX(0,-'Flujo de Caja'!X40-SUM($M44:AG44)),0))</f>
        <v>0</v>
      </c>
      <c r="AI44" s="62">
        <f>IF('Flujo de Caja'!Y40&gt;=0,0,IF('Flujo de Caja'!Y40&lt;'Flujo de Caja'!X40,MAX(0,-'Flujo de Caja'!Y40-SUM($M44:AH44)),0))</f>
        <v>0</v>
      </c>
      <c r="AJ44" s="62">
        <f>IF('Flujo de Caja'!Z40&gt;=0,0,IF('Flujo de Caja'!Z40&lt;'Flujo de Caja'!Y40,MAX(0,-'Flujo de Caja'!Z40-SUM($M44:AI44)),0))</f>
        <v>0</v>
      </c>
    </row>
    <row r="45" spans="1:36" s="110" customFormat="1" ht="12.75" hidden="1">
      <c r="A45" s="110" t="s">
        <v>3</v>
      </c>
      <c r="D45" s="86" t="str">
        <f>A45&amp;" ("&amp;Introducción!E17&amp;")"</f>
        <v>Flujo de caja del negocio (Dólares)</v>
      </c>
      <c r="E45" s="77"/>
      <c r="F45" s="77"/>
      <c r="G45" s="77">
        <f>'Flujo de Caja'!N21+'Flujo de Caja'!N33</f>
        <v>10007.833333333336</v>
      </c>
      <c r="H45" s="77">
        <f>'Flujo de Caja'!AA21+'Flujo de Caja'!AA33</f>
        <v>11526.750000000004</v>
      </c>
      <c r="I45" s="77">
        <f>'Flujo de Caja'!AB21+'Flujo de Caja'!AB33</f>
        <v>8012.75</v>
      </c>
      <c r="J45" s="77">
        <f>'Flujo de Caja'!AC21+'Flujo de Caja'!AC33</f>
        <v>13603.550000000003</v>
      </c>
      <c r="K45" s="77">
        <f>'Flujo de Caja'!AD21+'Flujo de Caja'!AD33</f>
        <v>18469.15000000002</v>
      </c>
      <c r="M45" s="110">
        <f>'Flujo de Caja'!B21+'Flujo de Caja'!B33</f>
        <v>5125.652777777777</v>
      </c>
      <c r="N45" s="110">
        <f>'Flujo de Caja'!C21+'Flujo de Caja'!C33</f>
        <v>625.6527777777778</v>
      </c>
      <c r="O45" s="110">
        <f>'Flujo de Caja'!D21+'Flujo de Caja'!D33</f>
        <v>625.6527777777778</v>
      </c>
      <c r="P45" s="110">
        <f>'Flujo de Caja'!E21+'Flujo de Caja'!E33</f>
        <v>625.6527777777778</v>
      </c>
      <c r="Q45" s="110">
        <f>'Flujo de Caja'!F21+'Flujo de Caja'!F33</f>
        <v>625.6527777777778</v>
      </c>
      <c r="R45" s="110">
        <f>'Flujo de Caja'!G21+'Flujo de Caja'!G33</f>
        <v>625.6527777777778</v>
      </c>
      <c r="S45" s="110">
        <f>'Flujo de Caja'!H21+'Flujo de Caja'!H33</f>
        <v>625.6527777777778</v>
      </c>
      <c r="T45" s="110">
        <f>'Flujo de Caja'!I21+'Flujo de Caja'!I33</f>
        <v>625.6527777777778</v>
      </c>
      <c r="U45" s="110">
        <f>'Flujo de Caja'!J21+'Flujo de Caja'!J33</f>
        <v>625.6527777777778</v>
      </c>
      <c r="V45" s="110">
        <f>'Flujo de Caja'!K21+'Flujo de Caja'!K33</f>
        <v>625.6527777777778</v>
      </c>
      <c r="W45" s="110">
        <f>'Flujo de Caja'!L21+'Flujo de Caja'!L33</f>
        <v>625.6527777777778</v>
      </c>
      <c r="X45" s="110">
        <f>'Flujo de Caja'!M21+'Flujo de Caja'!M33</f>
        <v>-1374.3472222222222</v>
      </c>
      <c r="Y45" s="110">
        <f>'Flujo de Caja'!O21+'Flujo de Caja'!O33</f>
        <v>-622.770833333333</v>
      </c>
      <c r="Z45" s="110">
        <f>'Flujo de Caja'!P21+'Flujo de Caja'!P33</f>
        <v>1377.2291666666667</v>
      </c>
      <c r="AA45" s="110">
        <f>'Flujo de Caja'!Q21+'Flujo de Caja'!Q33</f>
        <v>1377.2291666666667</v>
      </c>
      <c r="AB45" s="110">
        <f>'Flujo de Caja'!R21+'Flujo de Caja'!R33</f>
        <v>1377.2291666666667</v>
      </c>
      <c r="AC45" s="110">
        <f>'Flujo de Caja'!S21+'Flujo de Caja'!S33</f>
        <v>1377.2291666666667</v>
      </c>
      <c r="AD45" s="110">
        <f>'Flujo de Caja'!T21+'Flujo de Caja'!T33</f>
        <v>1377.2291666666667</v>
      </c>
      <c r="AE45" s="110">
        <f>'Flujo de Caja'!U21+'Flujo de Caja'!U33</f>
        <v>1377.2291666666667</v>
      </c>
      <c r="AF45" s="110">
        <f>'Flujo de Caja'!V21+'Flujo de Caja'!V33</f>
        <v>1377.2291666666667</v>
      </c>
      <c r="AG45" s="110">
        <f>'Flujo de Caja'!W21+'Flujo de Caja'!W33</f>
        <v>1377.2291666666667</v>
      </c>
      <c r="AH45" s="110">
        <f>'Flujo de Caja'!X21+'Flujo de Caja'!X33</f>
        <v>1377.2291666666667</v>
      </c>
      <c r="AI45" s="110">
        <f>'Flujo de Caja'!Y21+'Flujo de Caja'!Y33</f>
        <v>1377.2291666666667</v>
      </c>
      <c r="AJ45" s="110">
        <f>'Flujo de Caja'!Z21+'Flujo de Caja'!Z33</f>
        <v>-1622.7708333333333</v>
      </c>
    </row>
    <row r="46" spans="1:36" s="110" customFormat="1" ht="12.75" hidden="1">
      <c r="A46" s="110" t="s">
        <v>64</v>
      </c>
      <c r="D46" s="86" t="str">
        <f>A46&amp;" ("&amp;Introducción!E17&amp;")"</f>
        <v>Saldo de caja del negocio (Dólares)</v>
      </c>
      <c r="E46" s="77"/>
      <c r="F46" s="77"/>
      <c r="G46" s="77">
        <f>G45</f>
        <v>10007.833333333336</v>
      </c>
      <c r="H46" s="77">
        <f>H45+G46</f>
        <v>21534.58333333334</v>
      </c>
      <c r="I46" s="77">
        <f>I45+H46</f>
        <v>29547.33333333334</v>
      </c>
      <c r="J46" s="77">
        <f>J45+I46</f>
        <v>43150.883333333346</v>
      </c>
      <c r="K46" s="77">
        <f>K45+J46</f>
        <v>61620.03333333337</v>
      </c>
      <c r="M46" s="110">
        <f>M45</f>
        <v>5125.652777777777</v>
      </c>
      <c r="N46" s="110">
        <f aca="true" t="shared" si="3" ref="N46:AJ46">N45+M46</f>
        <v>5751.305555555555</v>
      </c>
      <c r="O46" s="110">
        <f t="shared" si="3"/>
        <v>6376.958333333332</v>
      </c>
      <c r="P46" s="110">
        <f t="shared" si="3"/>
        <v>7002.6111111111095</v>
      </c>
      <c r="Q46" s="110">
        <f t="shared" si="3"/>
        <v>7628.263888888887</v>
      </c>
      <c r="R46" s="110">
        <f t="shared" si="3"/>
        <v>8253.916666666664</v>
      </c>
      <c r="S46" s="110">
        <f t="shared" si="3"/>
        <v>8879.569444444442</v>
      </c>
      <c r="T46" s="110">
        <f t="shared" si="3"/>
        <v>9505.222222222219</v>
      </c>
      <c r="U46" s="110">
        <f t="shared" si="3"/>
        <v>10130.874999999996</v>
      </c>
      <c r="V46" s="110">
        <f t="shared" si="3"/>
        <v>10756.527777777774</v>
      </c>
      <c r="W46" s="110">
        <f t="shared" si="3"/>
        <v>11382.180555555551</v>
      </c>
      <c r="X46" s="110">
        <f t="shared" si="3"/>
        <v>10007.833333333328</v>
      </c>
      <c r="Y46" s="110">
        <f t="shared" si="3"/>
        <v>9385.062499999996</v>
      </c>
      <c r="Z46" s="110">
        <f t="shared" si="3"/>
        <v>10762.291666666662</v>
      </c>
      <c r="AA46" s="110">
        <f t="shared" si="3"/>
        <v>12139.520833333328</v>
      </c>
      <c r="AB46" s="110">
        <f t="shared" si="3"/>
        <v>13516.749999999995</v>
      </c>
      <c r="AC46" s="110">
        <f t="shared" si="3"/>
        <v>14893.97916666666</v>
      </c>
      <c r="AD46" s="110">
        <f t="shared" si="3"/>
        <v>16271.208333333327</v>
      </c>
      <c r="AE46" s="110">
        <f t="shared" si="3"/>
        <v>17648.437499999993</v>
      </c>
      <c r="AF46" s="110">
        <f t="shared" si="3"/>
        <v>19025.66666666666</v>
      </c>
      <c r="AG46" s="110">
        <f t="shared" si="3"/>
        <v>20402.89583333333</v>
      </c>
      <c r="AH46" s="110">
        <f t="shared" si="3"/>
        <v>21780.124999999996</v>
      </c>
      <c r="AI46" s="110">
        <f t="shared" si="3"/>
        <v>23157.354166666664</v>
      </c>
      <c r="AJ46" s="110">
        <f t="shared" si="3"/>
        <v>21534.583333333332</v>
      </c>
    </row>
    <row r="47" spans="1:36" s="110" customFormat="1" ht="12.75" hidden="1">
      <c r="A47" s="110" t="s">
        <v>5</v>
      </c>
      <c r="D47" s="86" t="str">
        <f>A47&amp;" ("&amp;Introducción!E17&amp;")"</f>
        <v>Punto de equilibrio (Dólares)</v>
      </c>
      <c r="E47" s="77"/>
      <c r="F47" s="77"/>
      <c r="G47" s="77">
        <f>IF(ISERROR(-'Estado Resultados'!N9/('Estado Resultados'!N5/'Estado Resultados'!N3)),0,-'Estado Resultados'!N9/('Estado Resultados'!N5/'Estado Resultados'!N3))</f>
        <v>136500</v>
      </c>
      <c r="H47" s="77">
        <f>IF(ISERROR(-'Estado Resultados'!AA9/('Estado Resultados'!AA5/'Estado Resultados'!AA3)),0,-'Estado Resultados'!AA9/('Estado Resultados'!AA5/'Estado Resultados'!AA3))</f>
        <v>143571.42857142855</v>
      </c>
      <c r="I47" s="77">
        <f>IF(ISERROR(-'Estado Resultados'!AB9/('Estado Resultados'!AB5/'Estado Resultados'!AB3)),0,-'Estado Resultados'!AB9/('Estado Resultados'!AB5/'Estado Resultados'!AB3))</f>
        <v>150145.94594594595</v>
      </c>
      <c r="J47" s="77">
        <f>IF(ISERROR(-'Estado Resultados'!AC9/('Estado Resultados'!AC5/'Estado Resultados'!AC3)),0,-'Estado Resultados'!AC9/('Estado Resultados'!AC5/'Estado Resultados'!AC3))</f>
        <v>189245.75319148935</v>
      </c>
      <c r="K47" s="77">
        <f>IF(ISERROR(-'Estado Resultados'!AD9/('Estado Resultados'!AD5/'Estado Resultados'!AD3)),0,-'Estado Resultados'!AD9/('Estado Resultados'!AD5/'Estado Resultados'!AD3))</f>
        <v>231111.10040160638</v>
      </c>
      <c r="M47" s="110">
        <f>IF(ISERROR(-'Estado Resultados'!B9/('Estado Resultados'!B5/'Estado Resultados'!B3)),0,-'Estado Resultados'!B9/('Estado Resultados'!B5/'Estado Resultados'!B3))</f>
        <v>11375</v>
      </c>
      <c r="N47" s="110">
        <f>IF(ISERROR(-'Estado Resultados'!C9/('Estado Resultados'!C5/'Estado Resultados'!C3)),0,-'Estado Resultados'!C9/('Estado Resultados'!C5/'Estado Resultados'!C3))</f>
        <v>11375</v>
      </c>
      <c r="O47" s="110">
        <f>IF(ISERROR(-'Estado Resultados'!D9/('Estado Resultados'!D5/'Estado Resultados'!D3)),0,-'Estado Resultados'!D9/('Estado Resultados'!D5/'Estado Resultados'!D3))</f>
        <v>11375</v>
      </c>
      <c r="P47" s="110">
        <f>IF(ISERROR(-'Estado Resultados'!E9/('Estado Resultados'!E5/'Estado Resultados'!E3)),0,-'Estado Resultados'!E9/('Estado Resultados'!E5/'Estado Resultados'!E3))</f>
        <v>11375</v>
      </c>
      <c r="Q47" s="110">
        <f>IF(ISERROR(-'Estado Resultados'!F9/('Estado Resultados'!F5/'Estado Resultados'!F3)),0,-'Estado Resultados'!F9/('Estado Resultados'!F5/'Estado Resultados'!F3))</f>
        <v>11375</v>
      </c>
      <c r="R47" s="110">
        <f>IF(ISERROR(-'Estado Resultados'!G9/('Estado Resultados'!G5/'Estado Resultados'!G3)),0,-'Estado Resultados'!G9/('Estado Resultados'!G5/'Estado Resultados'!G3))</f>
        <v>11375</v>
      </c>
      <c r="S47" s="110">
        <f>IF(ISERROR(-'Estado Resultados'!H9/('Estado Resultados'!H5/'Estado Resultados'!H3)),0,-'Estado Resultados'!H9/('Estado Resultados'!H5/'Estado Resultados'!H3))</f>
        <v>11375</v>
      </c>
      <c r="T47" s="110">
        <f>IF(ISERROR(-'Estado Resultados'!I9/('Estado Resultados'!I5/'Estado Resultados'!I3)),0,-'Estado Resultados'!I9/('Estado Resultados'!I5/'Estado Resultados'!I3))</f>
        <v>11375</v>
      </c>
      <c r="U47" s="110">
        <f>IF(ISERROR(-'Estado Resultados'!J9/('Estado Resultados'!J5/'Estado Resultados'!J3)),0,-'Estado Resultados'!J9/('Estado Resultados'!J5/'Estado Resultados'!J3))</f>
        <v>11375</v>
      </c>
      <c r="V47" s="110">
        <f>IF(ISERROR(-'Estado Resultados'!K9/('Estado Resultados'!K5/'Estado Resultados'!K3)),0,-'Estado Resultados'!K9/('Estado Resultados'!K5/'Estado Resultados'!K3))</f>
        <v>11375</v>
      </c>
      <c r="W47" s="110">
        <f>IF(ISERROR(-'Estado Resultados'!L9/('Estado Resultados'!L5/'Estado Resultados'!L3)),0,-'Estado Resultados'!L9/('Estado Resultados'!L5/'Estado Resultados'!L3))</f>
        <v>11375</v>
      </c>
      <c r="X47" s="110">
        <f>IF(ISERROR(-'Estado Resultados'!M9/('Estado Resultados'!M5/'Estado Resultados'!M3)),0,-'Estado Resultados'!M9/('Estado Resultados'!M5/'Estado Resultados'!M3))</f>
        <v>11375</v>
      </c>
      <c r="Y47" s="110">
        <f>IF(ISERROR(-'Estado Resultados'!O9/('Estado Resultados'!O5/'Estado Resultados'!O3)),0,-'Estado Resultados'!O9/('Estado Resultados'!O5/'Estado Resultados'!O3))</f>
        <v>11964.285714285714</v>
      </c>
      <c r="Z47" s="110">
        <f>IF(ISERROR(-'Estado Resultados'!P9/('Estado Resultados'!P5/'Estado Resultados'!P3)),0,-'Estado Resultados'!P9/('Estado Resultados'!P5/'Estado Resultados'!P3))</f>
        <v>11964.285714285714</v>
      </c>
      <c r="AA47" s="110">
        <f>IF(ISERROR(-'Estado Resultados'!Q9/('Estado Resultados'!Q5/'Estado Resultados'!Q3)),0,-'Estado Resultados'!Q9/('Estado Resultados'!Q5/'Estado Resultados'!Q3))</f>
        <v>11964.285714285714</v>
      </c>
      <c r="AB47" s="110">
        <f>IF(ISERROR(-'Estado Resultados'!R9/('Estado Resultados'!R5/'Estado Resultados'!R3)),0,-'Estado Resultados'!R9/('Estado Resultados'!R5/'Estado Resultados'!R3))</f>
        <v>11964.285714285714</v>
      </c>
      <c r="AC47" s="110">
        <f>IF(ISERROR(-'Estado Resultados'!S9/('Estado Resultados'!S5/'Estado Resultados'!S3)),0,-'Estado Resultados'!S9/('Estado Resultados'!S5/'Estado Resultados'!S3))</f>
        <v>11964.285714285714</v>
      </c>
      <c r="AD47" s="110">
        <f>IF(ISERROR(-'Estado Resultados'!T9/('Estado Resultados'!T5/'Estado Resultados'!T3)),0,-'Estado Resultados'!T9/('Estado Resultados'!T5/'Estado Resultados'!T3))</f>
        <v>11964.285714285714</v>
      </c>
      <c r="AE47" s="110">
        <f>IF(ISERROR(-'Estado Resultados'!U9/('Estado Resultados'!U5/'Estado Resultados'!U3)),0,-'Estado Resultados'!U9/('Estado Resultados'!U5/'Estado Resultados'!U3))</f>
        <v>11964.285714285714</v>
      </c>
      <c r="AF47" s="110">
        <f>IF(ISERROR(-'Estado Resultados'!V9/('Estado Resultados'!V5/'Estado Resultados'!V3)),0,-'Estado Resultados'!V9/('Estado Resultados'!V5/'Estado Resultados'!V3))</f>
        <v>11964.285714285714</v>
      </c>
      <c r="AG47" s="110">
        <f>IF(ISERROR(-'Estado Resultados'!W9/('Estado Resultados'!W5/'Estado Resultados'!W3)),0,-'Estado Resultados'!W9/('Estado Resultados'!W5/'Estado Resultados'!W3))</f>
        <v>11964.285714285714</v>
      </c>
      <c r="AH47" s="110">
        <f>IF(ISERROR(-'Estado Resultados'!X9/('Estado Resultados'!X5/'Estado Resultados'!X3)),0,-'Estado Resultados'!X9/('Estado Resultados'!X5/'Estado Resultados'!X3))</f>
        <v>11964.285714285714</v>
      </c>
      <c r="AI47" s="110">
        <f>IF(ISERROR(-'Estado Resultados'!Y9/('Estado Resultados'!Y5/'Estado Resultados'!Y3)),0,-'Estado Resultados'!Y9/('Estado Resultados'!Y5/'Estado Resultados'!Y3))</f>
        <v>11964.285714285714</v>
      </c>
      <c r="AJ47" s="110">
        <f>IF(ISERROR(-'Estado Resultados'!Z9/('Estado Resultados'!Z5/'Estado Resultados'!Z3)),0,-'Estado Resultados'!Z9/('Estado Resultados'!Z5/'Estado Resultados'!Z3))</f>
        <v>11964.285714285714</v>
      </c>
    </row>
    <row r="48" spans="4:11" s="65" customFormat="1" ht="12.75" hidden="1">
      <c r="D48" s="45"/>
      <c r="E48" s="35"/>
      <c r="F48" s="35"/>
      <c r="G48" s="35"/>
      <c r="H48" s="35"/>
      <c r="I48" s="35"/>
      <c r="J48" s="35"/>
      <c r="K48" s="35"/>
    </row>
    <row r="49" s="77" customFormat="1" ht="12.75" hidden="1">
      <c r="D49" s="86"/>
    </row>
    <row r="50" spans="1:12" s="110" customFormat="1" ht="12.75" hidden="1">
      <c r="A50" s="110" t="s">
        <v>62</v>
      </c>
      <c r="D50" s="86" t="str">
        <f>A50</f>
        <v>FF para cálculo VAN y TIR</v>
      </c>
      <c r="E50" s="77"/>
      <c r="F50" s="77"/>
      <c r="G50" s="77">
        <f>'Flujo de Caja'!N21</f>
        <v>-17992.166666666664</v>
      </c>
      <c r="H50" s="77">
        <f>'Flujo de Caja'!AA21</f>
        <v>9526.750000000004</v>
      </c>
      <c r="I50" s="77">
        <f>'Flujo de Caja'!AB21</f>
        <v>13012.75</v>
      </c>
      <c r="J50" s="77">
        <f>'Flujo de Caja'!AC21</f>
        <v>20603.550000000003</v>
      </c>
      <c r="K50" s="77">
        <f>'Flujo de Caja'!AD21</f>
        <v>27469.15000000002</v>
      </c>
      <c r="L50" s="77">
        <f>IF(ISERROR(K50/IRR(G50:K50)),0,K50/IRR(G50:K50))</f>
        <v>40198.403275851415</v>
      </c>
    </row>
    <row r="51" spans="1:12" s="65" customFormat="1" ht="12.75" hidden="1">
      <c r="A51" s="65" t="s">
        <v>107</v>
      </c>
      <c r="D51" s="86" t="str">
        <f>A51</f>
        <v>TIR sin perpetuidad</v>
      </c>
      <c r="E51" s="136">
        <f>IF(ISERROR(IRR(G50:L50)),"-",IRR(G50:L50))</f>
        <v>0.7840654212629884</v>
      </c>
      <c r="F51" s="35"/>
      <c r="G51" s="77">
        <f>G50</f>
        <v>-17992.166666666664</v>
      </c>
      <c r="H51" s="77">
        <f>H50</f>
        <v>9526.750000000004</v>
      </c>
      <c r="I51" s="77">
        <f>I50</f>
        <v>13012.75</v>
      </c>
      <c r="J51" s="77">
        <f>J50</f>
        <v>20603.550000000003</v>
      </c>
      <c r="K51" s="77">
        <f>K50</f>
        <v>27469.15000000002</v>
      </c>
      <c r="L51" s="77"/>
    </row>
    <row r="52" spans="1:12" s="65" customFormat="1" ht="12.75" hidden="1">
      <c r="A52" s="65" t="s">
        <v>92</v>
      </c>
      <c r="D52" s="86" t="str">
        <f>A52</f>
        <v>TIR con perpetuidad</v>
      </c>
      <c r="E52" s="35"/>
      <c r="F52" s="35"/>
      <c r="G52" s="77">
        <f aca="true" t="shared" si="4" ref="G52:L52">G50</f>
        <v>-17992.166666666664</v>
      </c>
      <c r="H52" s="77">
        <f t="shared" si="4"/>
        <v>9526.750000000004</v>
      </c>
      <c r="I52" s="77">
        <f t="shared" si="4"/>
        <v>13012.75</v>
      </c>
      <c r="J52" s="77">
        <f t="shared" si="4"/>
        <v>20603.550000000003</v>
      </c>
      <c r="K52" s="77">
        <f t="shared" si="4"/>
        <v>27469.15000000002</v>
      </c>
      <c r="L52" s="77">
        <f t="shared" si="4"/>
        <v>40198.403275851415</v>
      </c>
    </row>
    <row r="53" spans="1:12" s="65" customFormat="1" ht="12.75" hidden="1">
      <c r="A53" s="65" t="s">
        <v>61</v>
      </c>
      <c r="D53" s="86" t="str">
        <f>A53</f>
        <v>TIR ácida sin perpetuidad</v>
      </c>
      <c r="E53" s="35"/>
      <c r="F53" s="77">
        <f>-G44</f>
        <v>-24874.347222222223</v>
      </c>
      <c r="G53" s="77">
        <f>G50+G44-H44</f>
        <v>6882.180555555558</v>
      </c>
      <c r="H53" s="77">
        <f>H50+H44-I44</f>
        <v>9526.750000000004</v>
      </c>
      <c r="I53" s="77">
        <f>I50+I44-J44</f>
        <v>13012.75</v>
      </c>
      <c r="J53" s="77">
        <f>J50+J44-K44</f>
        <v>20603.550000000003</v>
      </c>
      <c r="K53" s="77">
        <f>K50+K44-L44</f>
        <v>27469.15000000002</v>
      </c>
      <c r="L53" s="77"/>
    </row>
    <row r="54" spans="1:12" s="65" customFormat="1" ht="12.75" hidden="1">
      <c r="A54" s="65" t="s">
        <v>114</v>
      </c>
      <c r="D54" s="86" t="str">
        <f>A54</f>
        <v>TIR ácida con perpetuidad</v>
      </c>
      <c r="E54" s="35"/>
      <c r="F54" s="77">
        <f>-G44</f>
        <v>-24874.347222222223</v>
      </c>
      <c r="G54" s="77">
        <f aca="true" t="shared" si="5" ref="G54:L54">G50+G44-H44</f>
        <v>6882.180555555558</v>
      </c>
      <c r="H54" s="77">
        <f t="shared" si="5"/>
        <v>9526.750000000004</v>
      </c>
      <c r="I54" s="77">
        <f t="shared" si="5"/>
        <v>13012.75</v>
      </c>
      <c r="J54" s="77">
        <f t="shared" si="5"/>
        <v>20603.550000000003</v>
      </c>
      <c r="K54" s="77">
        <f t="shared" si="5"/>
        <v>27469.15000000002</v>
      </c>
      <c r="L54" s="77">
        <f t="shared" si="5"/>
        <v>15324.056053629192</v>
      </c>
    </row>
    <row r="55" spans="4:11" s="65" customFormat="1" ht="12.75" hidden="1">
      <c r="D55" s="45"/>
      <c r="E55" s="35"/>
      <c r="F55" s="35"/>
      <c r="G55" s="35"/>
      <c r="H55" s="35"/>
      <c r="I55" s="35"/>
      <c r="J55" s="35"/>
      <c r="K55" s="35"/>
    </row>
    <row r="56" spans="1:27" s="65" customFormat="1" ht="12.75" hidden="1">
      <c r="A56" s="65" t="s">
        <v>26</v>
      </c>
      <c r="D56" s="45" t="str">
        <f>A56</f>
        <v>Tasa descuento</v>
      </c>
      <c r="E56" s="35"/>
      <c r="F56" s="35"/>
      <c r="G56" s="136">
        <v>0</v>
      </c>
      <c r="H56" s="54">
        <v>0.05</v>
      </c>
      <c r="I56" s="54">
        <v>0.1</v>
      </c>
      <c r="J56" s="136">
        <v>0.15</v>
      </c>
      <c r="K56" s="54">
        <v>0.2</v>
      </c>
      <c r="L56" s="54">
        <v>0.25</v>
      </c>
      <c r="M56" s="136">
        <v>0.3</v>
      </c>
      <c r="N56" s="54">
        <v>0.35</v>
      </c>
      <c r="O56" s="54">
        <v>0.4</v>
      </c>
      <c r="P56" s="136">
        <v>0.45</v>
      </c>
      <c r="Q56" s="54">
        <v>0.5</v>
      </c>
      <c r="R56" s="54">
        <v>0.55</v>
      </c>
      <c r="S56" s="136">
        <v>0.6</v>
      </c>
      <c r="T56" s="54">
        <v>0.65</v>
      </c>
      <c r="U56" s="54">
        <v>0.7</v>
      </c>
      <c r="V56" s="136">
        <v>0.75</v>
      </c>
      <c r="W56" s="54">
        <v>0.8</v>
      </c>
      <c r="X56" s="54">
        <v>0.85</v>
      </c>
      <c r="Y56" s="136">
        <v>0.9</v>
      </c>
      <c r="Z56" s="54">
        <v>0.95</v>
      </c>
      <c r="AA56" s="54">
        <v>1</v>
      </c>
    </row>
    <row r="57" spans="1:27" s="110" customFormat="1" ht="12.75" hidden="1">
      <c r="A57" s="110" t="s">
        <v>17</v>
      </c>
      <c r="D57" s="86" t="str">
        <f>A57&amp;" ("&amp;Introducción!E17&amp;")"</f>
        <v>VAN sin perpetuidad (Dólares)</v>
      </c>
      <c r="E57" s="77"/>
      <c r="F57" s="77"/>
      <c r="G57" s="77">
        <f aca="true" t="shared" si="6" ref="G57:AA57">NPV(G56,$G$50:$K$50)</f>
        <v>52620.03333333336</v>
      </c>
      <c r="H57" s="77">
        <f t="shared" si="6"/>
        <v>41219.93833893923</v>
      </c>
      <c r="I57" s="77">
        <f t="shared" si="6"/>
        <v>32422.18647095227</v>
      </c>
      <c r="J57" s="77">
        <f t="shared" si="6"/>
        <v>25551.492618815817</v>
      </c>
      <c r="K57" s="77">
        <f t="shared" si="6"/>
        <v>20128.213895318946</v>
      </c>
      <c r="L57" s="77">
        <f t="shared" si="6"/>
        <v>15806.219818666676</v>
      </c>
      <c r="M57" s="77">
        <f t="shared" si="6"/>
        <v>12332.08141099707</v>
      </c>
      <c r="N57" s="77">
        <f t="shared" si="6"/>
        <v>9517.7619584544</v>
      </c>
      <c r="O57" s="77">
        <f t="shared" si="6"/>
        <v>7222.028866940374</v>
      </c>
      <c r="P57" s="77">
        <f t="shared" si="6"/>
        <v>5337.601694408578</v>
      </c>
      <c r="Q57" s="77">
        <f t="shared" si="6"/>
        <v>3782.136625514409</v>
      </c>
      <c r="R57" s="77">
        <f t="shared" si="6"/>
        <v>2491.8167729342304</v>
      </c>
      <c r="S57" s="77">
        <f t="shared" si="6"/>
        <v>1416.737988789879</v>
      </c>
      <c r="T57" s="77">
        <f t="shared" si="6"/>
        <v>517.5484551796948</v>
      </c>
      <c r="U57" s="77">
        <f t="shared" si="6"/>
        <v>-237.02527555004374</v>
      </c>
      <c r="V57" s="77">
        <f t="shared" si="6"/>
        <v>-872.0181749667748</v>
      </c>
      <c r="W57" s="77">
        <f t="shared" si="6"/>
        <v>-1407.6081305356533</v>
      </c>
      <c r="X57" s="77">
        <f t="shared" si="6"/>
        <v>-1860.1623836282245</v>
      </c>
      <c r="Y57" s="77">
        <f t="shared" si="6"/>
        <v>-2243.0369087288736</v>
      </c>
      <c r="Z57" s="77">
        <f t="shared" si="6"/>
        <v>-2567.191908348221</v>
      </c>
      <c r="AA57" s="77">
        <f t="shared" si="6"/>
        <v>-2841.6692708333303</v>
      </c>
    </row>
    <row r="58" spans="5:26" s="76" customFormat="1" ht="12.75" hidden="1">
      <c r="E58" s="72"/>
      <c r="F58" s="54"/>
      <c r="G58" s="54"/>
      <c r="H58" s="54"/>
      <c r="I58" s="54"/>
      <c r="J58" s="54"/>
      <c r="K58" s="54"/>
      <c r="L58" s="54"/>
      <c r="M58" s="54"/>
      <c r="N58" s="54"/>
      <c r="O58" s="54"/>
      <c r="P58" s="54"/>
      <c r="Q58" s="54"/>
      <c r="R58" s="54"/>
      <c r="S58" s="54"/>
      <c r="T58" s="54"/>
      <c r="U58" s="54"/>
      <c r="V58" s="54"/>
      <c r="W58" s="54"/>
      <c r="X58" s="54"/>
      <c r="Y58" s="54"/>
      <c r="Z58" s="54"/>
    </row>
    <row r="59" spans="1:8" s="65" customFormat="1" ht="12.75" hidden="1">
      <c r="A59" s="45"/>
      <c r="B59" s="35"/>
      <c r="C59" s="35"/>
      <c r="D59" s="45"/>
      <c r="E59" s="35"/>
      <c r="F59" s="35"/>
      <c r="G59" s="35"/>
      <c r="H59" s="35"/>
    </row>
    <row r="60" spans="1:11" s="110" customFormat="1" ht="12.75" hidden="1">
      <c r="A60" s="86" t="s">
        <v>123</v>
      </c>
      <c r="B60" s="77"/>
      <c r="C60" s="77"/>
      <c r="D60" s="86" t="str">
        <f>A60</f>
        <v>Caja generada por operaciones</v>
      </c>
      <c r="E60" s="77"/>
      <c r="F60" s="77"/>
      <c r="G60" s="77">
        <f>'Flujo de Caja'!N11</f>
        <v>7507.833333333334</v>
      </c>
      <c r="H60" s="77">
        <f>'Flujo de Caja'!AA11</f>
        <v>16526.750000000004</v>
      </c>
      <c r="I60" s="77">
        <f>'Flujo de Caja'!AB11</f>
        <v>20012.75</v>
      </c>
      <c r="J60" s="77">
        <f>'Flujo de Caja'!AC11</f>
        <v>20603.550000000003</v>
      </c>
      <c r="K60" s="77">
        <f>'Flujo de Caja'!AD11</f>
        <v>27469.15000000002</v>
      </c>
    </row>
    <row r="61" spans="1:11" s="110" customFormat="1" ht="12.75" hidden="1">
      <c r="A61" s="86" t="s">
        <v>202</v>
      </c>
      <c r="B61" s="77"/>
      <c r="C61" s="77"/>
      <c r="D61" s="86" t="str">
        <f>A61</f>
        <v>Inversión en capital de trabajo</v>
      </c>
      <c r="E61" s="77"/>
      <c r="F61" s="77"/>
      <c r="G61" s="77">
        <f>'Flujo de Caja'!N17</f>
        <v>0</v>
      </c>
      <c r="H61" s="77">
        <f>'Flujo de Caja'!AA17</f>
        <v>0</v>
      </c>
      <c r="I61" s="77">
        <f>'Flujo de Caja'!AB17</f>
        <v>0</v>
      </c>
      <c r="J61" s="77">
        <f>'Flujo de Caja'!AC17</f>
        <v>0</v>
      </c>
      <c r="K61" s="77">
        <f>'Flujo de Caja'!AD17</f>
        <v>0</v>
      </c>
    </row>
    <row r="62" spans="1:11" s="110" customFormat="1" ht="12.75" hidden="1">
      <c r="A62" s="86" t="s">
        <v>76</v>
      </c>
      <c r="B62" s="77"/>
      <c r="C62" s="77"/>
      <c r="D62" s="86" t="str">
        <f>A62</f>
        <v>Inversión en activos fijos</v>
      </c>
      <c r="E62" s="77"/>
      <c r="F62" s="77"/>
      <c r="G62" s="77">
        <f>'Flujo de Caja'!N19</f>
        <v>-25500</v>
      </c>
      <c r="H62" s="77">
        <f>'Flujo de Caja'!AA19</f>
        <v>-7000</v>
      </c>
      <c r="I62" s="77">
        <f>'Flujo de Caja'!AB19</f>
        <v>-7000</v>
      </c>
      <c r="J62" s="77">
        <f>'Flujo de Caja'!AC19</f>
        <v>0</v>
      </c>
      <c r="K62" s="77">
        <f>'Flujo de Caja'!AD19</f>
        <v>0</v>
      </c>
    </row>
    <row r="63" spans="1:11" s="110" customFormat="1" ht="12.75" hidden="1">
      <c r="A63" s="86" t="s">
        <v>91</v>
      </c>
      <c r="B63" s="77"/>
      <c r="C63" s="77"/>
      <c r="D63" s="86" t="str">
        <f>A63</f>
        <v>Financiamiento</v>
      </c>
      <c r="E63" s="77"/>
      <c r="F63" s="77"/>
      <c r="G63" s="77">
        <f>'Flujo de Caja'!N33</f>
        <v>28000</v>
      </c>
      <c r="H63" s="77">
        <f>'Flujo de Caja'!AA33</f>
        <v>2000</v>
      </c>
      <c r="I63" s="77">
        <f>'Flujo de Caja'!AB33</f>
        <v>-5000</v>
      </c>
      <c r="J63" s="77">
        <f>'Flujo de Caja'!AC33</f>
        <v>-7000</v>
      </c>
      <c r="K63" s="77">
        <f>'Flujo de Caja'!AD33</f>
        <v>-9000</v>
      </c>
    </row>
    <row r="64" spans="7:11" ht="12.75" hidden="1">
      <c r="G64" s="1"/>
      <c r="H64" s="1"/>
      <c r="I64" s="1"/>
      <c r="J64" s="1"/>
      <c r="K64" s="1"/>
    </row>
    <row r="65" ht="12.75" hidden="1">
      <c r="A65" s="119" t="s">
        <v>11</v>
      </c>
    </row>
    <row r="66" ht="14.25" customHeight="1" hidden="1">
      <c r="A66" s="119" t="s">
        <v>155</v>
      </c>
    </row>
    <row r="67" ht="14.25" customHeight="1" hidden="1">
      <c r="A67" s="119" t="s">
        <v>111</v>
      </c>
    </row>
    <row r="68" spans="1:2" ht="14.25" customHeight="1" hidden="1">
      <c r="A68" s="119" t="s">
        <v>82</v>
      </c>
      <c r="B68" s="125"/>
    </row>
    <row r="69" ht="14.25" customHeight="1" hidden="1"/>
    <row r="70" ht="14.25" customHeight="1" hidden="1">
      <c r="A70" s="119" t="s">
        <v>230</v>
      </c>
    </row>
    <row r="71" spans="1:2" ht="14.25" customHeight="1" hidden="1">
      <c r="A71" s="119" t="s">
        <v>196</v>
      </c>
      <c r="B71" s="125"/>
    </row>
    <row r="72" ht="14.25" customHeight="1" hidden="1"/>
    <row r="73" ht="14.25" customHeight="1" hidden="1">
      <c r="A73" s="119" t="s">
        <v>153</v>
      </c>
    </row>
    <row r="74" spans="1:2" ht="14.25" customHeight="1" hidden="1">
      <c r="A74" s="119" t="s">
        <v>133</v>
      </c>
      <c r="B74" s="125"/>
    </row>
    <row r="75" ht="14.25" customHeight="1" hidden="1"/>
    <row r="76" ht="14.25" customHeight="1" hidden="1">
      <c r="A76" s="119" t="s">
        <v>29</v>
      </c>
    </row>
    <row r="77" spans="1:2" ht="14.25" customHeight="1" hidden="1">
      <c r="A77" s="119" t="s">
        <v>135</v>
      </c>
      <c r="B77" s="125"/>
    </row>
    <row r="78" spans="1:2" ht="14.25" customHeight="1" hidden="1">
      <c r="A78" s="119" t="s">
        <v>107</v>
      </c>
      <c r="B78" s="125"/>
    </row>
    <row r="79" spans="1:2" ht="14.25" customHeight="1" hidden="1">
      <c r="A79" s="119" t="s">
        <v>96</v>
      </c>
      <c r="B79" s="125"/>
    </row>
    <row r="80" spans="1:2" ht="14.25" customHeight="1" hidden="1">
      <c r="A80" s="119" t="s">
        <v>92</v>
      </c>
      <c r="B80" s="125"/>
    </row>
    <row r="81" spans="1:2" ht="14.25" customHeight="1" hidden="1">
      <c r="A81" s="119" t="s">
        <v>158</v>
      </c>
      <c r="B81" s="125"/>
    </row>
    <row r="82" spans="1:2" ht="14.25" customHeight="1" hidden="1">
      <c r="A82" s="119" t="s">
        <v>61</v>
      </c>
      <c r="B82" s="125"/>
    </row>
    <row r="83" spans="1:2" ht="14.25" customHeight="1" hidden="1">
      <c r="A83" s="119" t="s">
        <v>189</v>
      </c>
      <c r="B83" s="125"/>
    </row>
    <row r="84" spans="1:2" ht="14.25" customHeight="1" hidden="1">
      <c r="A84" s="119" t="s">
        <v>114</v>
      </c>
      <c r="B84" s="125"/>
    </row>
    <row r="85" spans="1:2" ht="14.25" customHeight="1" hidden="1">
      <c r="A85" s="119" t="s">
        <v>140</v>
      </c>
      <c r="B85" s="125"/>
    </row>
    <row r="86" ht="14.25" customHeight="1" hidden="1"/>
    <row r="87" ht="14.25" customHeight="1" hidden="1">
      <c r="A87" s="119" t="s">
        <v>152</v>
      </c>
    </row>
    <row r="88" ht="14.25" customHeight="1" hidden="1">
      <c r="A88" s="119" t="s">
        <v>80</v>
      </c>
    </row>
    <row r="89" ht="14.25" customHeight="1" hidden="1">
      <c r="A89" s="119" t="s">
        <v>8</v>
      </c>
    </row>
    <row r="90" ht="14.25" customHeight="1" hidden="1">
      <c r="A90" s="119" t="s">
        <v>103</v>
      </c>
    </row>
    <row r="91" ht="14.25" customHeight="1" hidden="1">
      <c r="A91" s="119" t="s">
        <v>17</v>
      </c>
    </row>
    <row r="92" ht="14.25" customHeight="1" hidden="1">
      <c r="A92" s="119" t="s">
        <v>96</v>
      </c>
    </row>
    <row r="93" ht="14.25" customHeight="1" hidden="1">
      <c r="A93" s="119" t="s">
        <v>68</v>
      </c>
    </row>
    <row r="94" ht="14.25" customHeight="1" hidden="1">
      <c r="A94" s="119" t="s">
        <v>158</v>
      </c>
    </row>
    <row r="95" ht="14.25" customHeight="1" hidden="1"/>
    <row r="96" ht="14.25" customHeight="1" hidden="1">
      <c r="A96" s="119" t="s">
        <v>67</v>
      </c>
    </row>
    <row r="97" ht="14.25" customHeight="1" hidden="1"/>
    <row r="98" ht="14.25" customHeight="1" hidden="1">
      <c r="A98" s="119" t="s">
        <v>151</v>
      </c>
    </row>
  </sheetData>
  <sheetProtection/>
  <mergeCells count="1">
    <mergeCell ref="B34:D34"/>
  </mergeCells>
  <printOptions/>
  <pageMargins left="0.7" right="0.7" top="0.75" bottom="0.75" header="0.3" footer="0.3"/>
  <pageSetup horizontalDpi="600" verticalDpi="600" orientation="portrait"/>
  <legacyDrawing r:id="rId2"/>
</worksheet>
</file>

<file path=xl/worksheets/sheet14.xml><?xml version="1.0" encoding="utf-8"?>
<worksheet xmlns="http://schemas.openxmlformats.org/spreadsheetml/2006/main" xmlns:r="http://schemas.openxmlformats.org/officeDocument/2006/relationships">
  <dimension ref="A1:L176"/>
  <sheetViews>
    <sheetView showGridLines="0" showRowColHeaders="0" zoomScalePageLayoutView="0" workbookViewId="0" topLeftCell="A1">
      <selection activeCell="B25" sqref="B25"/>
    </sheetView>
  </sheetViews>
  <sheetFormatPr defaultColWidth="9.140625" defaultRowHeight="12.75"/>
  <cols>
    <col min="1" max="1" width="4.8515625" style="0" customWidth="1"/>
    <col min="2" max="2" width="60.7109375" style="0" customWidth="1"/>
    <col min="3" max="3" width="6.00390625" style="0" customWidth="1"/>
    <col min="4" max="4" width="60.7109375" style="0" customWidth="1"/>
  </cols>
  <sheetData>
    <row r="1" spans="1:8" s="125" customFormat="1" ht="9" customHeight="1">
      <c r="A1" s="119"/>
      <c r="B1" s="102"/>
      <c r="C1" s="102"/>
      <c r="D1" s="102"/>
      <c r="E1" s="102"/>
      <c r="F1" s="102"/>
      <c r="G1" s="102"/>
      <c r="H1" s="102"/>
    </row>
    <row r="2" spans="1:12" s="125" customFormat="1" ht="20.25" customHeight="1">
      <c r="A2" s="119"/>
      <c r="B2" s="338" t="str">
        <f>Resumen!D57</f>
        <v>VAN sin perpetuidad (Dólares)</v>
      </c>
      <c r="C2" s="339"/>
      <c r="D2" s="340"/>
      <c r="E2" s="70"/>
      <c r="F2" s="102"/>
      <c r="G2" s="103"/>
      <c r="H2" s="57"/>
      <c r="I2" s="57"/>
      <c r="J2" s="57"/>
      <c r="K2" s="57"/>
      <c r="L2" s="57"/>
    </row>
    <row r="3" spans="1:8" s="125" customFormat="1" ht="12.75" customHeight="1">
      <c r="A3" s="119"/>
      <c r="B3" s="85"/>
      <c r="C3" s="102"/>
      <c r="D3" s="109"/>
      <c r="E3" s="102"/>
      <c r="F3" s="102"/>
      <c r="G3" s="102"/>
      <c r="H3" s="102"/>
    </row>
    <row r="4" spans="1:8" s="125" customFormat="1" ht="12.75" customHeight="1">
      <c r="A4" s="119"/>
      <c r="B4" s="85"/>
      <c r="C4" s="102"/>
      <c r="D4" s="109"/>
      <c r="E4" s="102"/>
      <c r="F4" s="102"/>
      <c r="G4" s="102"/>
      <c r="H4" s="102"/>
    </row>
    <row r="5" spans="1:8" s="125" customFormat="1" ht="12.75" customHeight="1">
      <c r="A5" s="119"/>
      <c r="B5" s="85"/>
      <c r="C5" s="102"/>
      <c r="D5" s="109"/>
      <c r="E5" s="102"/>
      <c r="F5" s="102"/>
      <c r="G5" s="102"/>
      <c r="H5" s="102"/>
    </row>
    <row r="6" spans="1:8" s="125" customFormat="1" ht="12.75" customHeight="1">
      <c r="A6" s="119"/>
      <c r="B6" s="85"/>
      <c r="C6" s="102"/>
      <c r="D6" s="109"/>
      <c r="E6" s="102"/>
      <c r="F6" s="102"/>
      <c r="G6" s="102"/>
      <c r="H6" s="102"/>
    </row>
    <row r="7" spans="1:8" s="125" customFormat="1" ht="12.75" customHeight="1">
      <c r="A7" s="119"/>
      <c r="B7" s="85"/>
      <c r="C7" s="102"/>
      <c r="D7" s="109"/>
      <c r="E7" s="102"/>
      <c r="F7" s="102"/>
      <c r="G7" s="102"/>
      <c r="H7" s="102"/>
    </row>
    <row r="8" spans="1:8" s="125" customFormat="1" ht="12.75" customHeight="1">
      <c r="A8" s="119"/>
      <c r="B8" s="85"/>
      <c r="C8" s="102"/>
      <c r="D8" s="109"/>
      <c r="E8" s="102"/>
      <c r="F8" s="102"/>
      <c r="G8" s="102"/>
      <c r="H8" s="102"/>
    </row>
    <row r="9" spans="1:8" s="125" customFormat="1" ht="12.75" customHeight="1">
      <c r="A9" s="119"/>
      <c r="B9" s="85"/>
      <c r="C9" s="102"/>
      <c r="D9" s="109"/>
      <c r="E9" s="102"/>
      <c r="F9" s="102"/>
      <c r="G9" s="102"/>
      <c r="H9" s="102"/>
    </row>
    <row r="10" spans="1:8" s="125" customFormat="1" ht="12.75" customHeight="1">
      <c r="A10" s="119"/>
      <c r="B10" s="85"/>
      <c r="C10" s="102"/>
      <c r="D10" s="109"/>
      <c r="E10" s="102"/>
      <c r="F10" s="102"/>
      <c r="G10" s="102"/>
      <c r="H10" s="102"/>
    </row>
    <row r="11" spans="1:8" s="125" customFormat="1" ht="12.75" customHeight="1">
      <c r="A11" s="119"/>
      <c r="B11" s="85"/>
      <c r="C11" s="102"/>
      <c r="D11" s="109"/>
      <c r="E11" s="102"/>
      <c r="F11" s="102"/>
      <c r="G11" s="102"/>
      <c r="H11" s="102"/>
    </row>
    <row r="12" spans="1:8" s="125" customFormat="1" ht="12.75" customHeight="1">
      <c r="A12" s="119"/>
      <c r="B12" s="85"/>
      <c r="C12" s="102"/>
      <c r="D12" s="109"/>
      <c r="E12" s="102"/>
      <c r="F12" s="102"/>
      <c r="G12" s="102"/>
      <c r="H12" s="102"/>
    </row>
    <row r="13" spans="1:8" s="125" customFormat="1" ht="12.75" customHeight="1">
      <c r="A13" s="119"/>
      <c r="B13" s="85"/>
      <c r="C13" s="102"/>
      <c r="D13" s="109"/>
      <c r="E13" s="102"/>
      <c r="F13" s="102"/>
      <c r="G13" s="102"/>
      <c r="H13" s="102"/>
    </row>
    <row r="14" spans="1:8" s="125" customFormat="1" ht="12.75" customHeight="1">
      <c r="A14" s="119"/>
      <c r="B14" s="85"/>
      <c r="C14" s="102"/>
      <c r="D14" s="109"/>
      <c r="E14" s="102"/>
      <c r="F14" s="102"/>
      <c r="G14" s="102"/>
      <c r="H14" s="102"/>
    </row>
    <row r="15" spans="1:8" s="125" customFormat="1" ht="12.75" customHeight="1">
      <c r="A15" s="119"/>
      <c r="B15" s="85"/>
      <c r="C15" s="102"/>
      <c r="D15" s="109"/>
      <c r="E15" s="102"/>
      <c r="F15" s="102"/>
      <c r="G15" s="102"/>
      <c r="H15" s="102"/>
    </row>
    <row r="16" spans="1:8" s="125" customFormat="1" ht="12.75" customHeight="1">
      <c r="A16" s="119"/>
      <c r="B16" s="85"/>
      <c r="C16" s="102"/>
      <c r="D16" s="109"/>
      <c r="E16" s="102"/>
      <c r="F16" s="102"/>
      <c r="G16" s="102"/>
      <c r="H16" s="102"/>
    </row>
    <row r="17" spans="1:8" s="125" customFormat="1" ht="12.75" customHeight="1">
      <c r="A17" s="119"/>
      <c r="B17" s="85"/>
      <c r="C17" s="102"/>
      <c r="D17" s="109"/>
      <c r="E17" s="102"/>
      <c r="F17" s="102"/>
      <c r="G17" s="102"/>
      <c r="H17" s="102"/>
    </row>
    <row r="18" spans="1:8" s="125" customFormat="1" ht="12.75" customHeight="1">
      <c r="A18" s="119"/>
      <c r="B18" s="85"/>
      <c r="C18" s="102"/>
      <c r="D18" s="109"/>
      <c r="E18" s="102"/>
      <c r="F18" s="102"/>
      <c r="G18" s="102"/>
      <c r="H18" s="102"/>
    </row>
    <row r="19" spans="1:8" s="125" customFormat="1" ht="12.75" customHeight="1">
      <c r="A19" s="119"/>
      <c r="B19" s="85"/>
      <c r="C19" s="102"/>
      <c r="D19" s="109"/>
      <c r="E19" s="102"/>
      <c r="F19" s="102"/>
      <c r="G19" s="102"/>
      <c r="H19" s="102"/>
    </row>
    <row r="20" spans="1:8" s="125" customFormat="1" ht="12.75" customHeight="1">
      <c r="A20" s="119"/>
      <c r="B20" s="85"/>
      <c r="C20" s="102"/>
      <c r="D20" s="109"/>
      <c r="E20" s="102"/>
      <c r="F20" s="102"/>
      <c r="G20" s="102"/>
      <c r="H20" s="102"/>
    </row>
    <row r="21" spans="1:8" s="125" customFormat="1" ht="12.75" customHeight="1">
      <c r="A21" s="119"/>
      <c r="B21" s="89"/>
      <c r="C21" s="6"/>
      <c r="D21" s="67"/>
      <c r="E21" s="102"/>
      <c r="F21" s="102"/>
      <c r="G21" s="102"/>
      <c r="H21" s="102"/>
    </row>
    <row r="22" spans="1:8" s="125" customFormat="1" ht="14.25" customHeight="1">
      <c r="A22" s="119"/>
      <c r="B22" s="102"/>
      <c r="C22" s="102"/>
      <c r="D22" s="102"/>
      <c r="E22" s="102"/>
      <c r="F22" s="102"/>
      <c r="G22" s="102"/>
      <c r="H22" s="102"/>
    </row>
    <row r="23" spans="1:8" s="125" customFormat="1" ht="14.25" customHeight="1">
      <c r="A23" s="119"/>
      <c r="B23" s="102"/>
      <c r="C23" s="102"/>
      <c r="D23" s="102"/>
      <c r="E23" s="102"/>
      <c r="F23" s="102"/>
      <c r="G23" s="102"/>
      <c r="H23" s="102"/>
    </row>
    <row r="24" spans="1:8" s="125" customFormat="1" ht="12" customHeight="1">
      <c r="A24" s="119"/>
      <c r="B24" s="102"/>
      <c r="C24" s="102"/>
      <c r="D24" s="102"/>
      <c r="E24" s="102"/>
      <c r="F24" s="102"/>
      <c r="G24" s="102"/>
      <c r="H24" s="102"/>
    </row>
    <row r="25" spans="1:12" s="125" customFormat="1" ht="20.25" customHeight="1">
      <c r="A25" s="119"/>
      <c r="B25" s="95" t="str">
        <f>Resumen!D40</f>
        <v>Ventas (Dólares)</v>
      </c>
      <c r="C25" s="70"/>
      <c r="D25" s="95" t="str">
        <f>Resumen!D40</f>
        <v>Ventas (Dólares)</v>
      </c>
      <c r="E25" s="70"/>
      <c r="F25" s="102"/>
      <c r="G25" s="341"/>
      <c r="H25" s="342"/>
      <c r="I25" s="342"/>
      <c r="J25" s="342"/>
      <c r="K25" s="342"/>
      <c r="L25" s="342"/>
    </row>
    <row r="26" spans="1:8" s="125" customFormat="1" ht="14.25" customHeight="1">
      <c r="A26" s="119"/>
      <c r="B26" s="97"/>
      <c r="C26" s="102"/>
      <c r="D26" s="97"/>
      <c r="E26" s="102"/>
      <c r="F26" s="102"/>
      <c r="G26" s="102"/>
      <c r="H26" s="102"/>
    </row>
    <row r="27" spans="1:8" s="125" customFormat="1" ht="14.25" customHeight="1">
      <c r="A27" s="119"/>
      <c r="B27" s="97"/>
      <c r="C27" s="102"/>
      <c r="D27" s="97"/>
      <c r="E27" s="102"/>
      <c r="F27" s="102"/>
      <c r="G27" s="102"/>
      <c r="H27" s="102"/>
    </row>
    <row r="28" spans="1:8" s="125" customFormat="1" ht="14.25" customHeight="1">
      <c r="A28" s="119"/>
      <c r="B28" s="97"/>
      <c r="C28" s="102"/>
      <c r="D28" s="97"/>
      <c r="E28" s="102"/>
      <c r="F28" s="102"/>
      <c r="G28" s="102"/>
      <c r="H28" s="102"/>
    </row>
    <row r="29" spans="1:8" s="125" customFormat="1" ht="14.25" customHeight="1">
      <c r="A29" s="119"/>
      <c r="B29" s="97"/>
      <c r="C29" s="102"/>
      <c r="D29" s="97"/>
      <c r="E29" s="102"/>
      <c r="F29" s="102"/>
      <c r="G29" s="102"/>
      <c r="H29" s="102"/>
    </row>
    <row r="30" spans="1:8" s="125" customFormat="1" ht="14.25" customHeight="1">
      <c r="A30" s="119"/>
      <c r="B30" s="97"/>
      <c r="C30" s="102"/>
      <c r="D30" s="97"/>
      <c r="E30" s="102"/>
      <c r="F30" s="102"/>
      <c r="G30" s="102"/>
      <c r="H30" s="102"/>
    </row>
    <row r="31" spans="1:8" s="125" customFormat="1" ht="14.25" customHeight="1">
      <c r="A31" s="119"/>
      <c r="B31" s="97"/>
      <c r="C31" s="102"/>
      <c r="D31" s="97"/>
      <c r="E31" s="102"/>
      <c r="F31" s="102"/>
      <c r="G31" s="102"/>
      <c r="H31" s="102"/>
    </row>
    <row r="32" spans="1:8" s="125" customFormat="1" ht="14.25" customHeight="1">
      <c r="A32" s="119"/>
      <c r="B32" s="97"/>
      <c r="C32" s="102"/>
      <c r="D32" s="97"/>
      <c r="E32" s="102"/>
      <c r="F32" s="102"/>
      <c r="G32" s="102"/>
      <c r="H32" s="102"/>
    </row>
    <row r="33" spans="1:8" s="125" customFormat="1" ht="14.25" customHeight="1">
      <c r="A33" s="119"/>
      <c r="B33" s="97"/>
      <c r="C33" s="102"/>
      <c r="D33" s="97"/>
      <c r="E33" s="102"/>
      <c r="F33" s="102"/>
      <c r="G33" s="102"/>
      <c r="H33" s="102"/>
    </row>
    <row r="34" spans="1:8" s="125" customFormat="1" ht="14.25" customHeight="1">
      <c r="A34" s="119"/>
      <c r="B34" s="97"/>
      <c r="C34" s="102"/>
      <c r="D34" s="97"/>
      <c r="E34" s="102"/>
      <c r="F34" s="102"/>
      <c r="G34" s="102"/>
      <c r="H34" s="102"/>
    </row>
    <row r="35" spans="1:8" s="125" customFormat="1" ht="14.25" customHeight="1">
      <c r="A35" s="119"/>
      <c r="B35" s="97"/>
      <c r="C35" s="102"/>
      <c r="D35" s="97"/>
      <c r="E35" s="102"/>
      <c r="F35" s="102"/>
      <c r="G35" s="102"/>
      <c r="H35" s="102"/>
    </row>
    <row r="36" spans="1:8" s="125" customFormat="1" ht="14.25" customHeight="1">
      <c r="A36" s="119"/>
      <c r="B36" s="97"/>
      <c r="C36" s="102"/>
      <c r="D36" s="97"/>
      <c r="E36" s="102"/>
      <c r="F36" s="102"/>
      <c r="G36" s="102"/>
      <c r="H36" s="102"/>
    </row>
    <row r="37" spans="1:8" s="125" customFormat="1" ht="14.25" customHeight="1">
      <c r="A37" s="119"/>
      <c r="B37" s="97"/>
      <c r="C37" s="102"/>
      <c r="D37" s="97"/>
      <c r="E37" s="102"/>
      <c r="F37" s="102"/>
      <c r="G37" s="102"/>
      <c r="H37" s="102"/>
    </row>
    <row r="38" spans="1:8" s="125" customFormat="1" ht="14.25" customHeight="1">
      <c r="A38" s="119"/>
      <c r="B38" s="97"/>
      <c r="C38" s="102"/>
      <c r="D38" s="97"/>
      <c r="E38" s="102"/>
      <c r="F38" s="102"/>
      <c r="G38" s="102"/>
      <c r="H38" s="102"/>
    </row>
    <row r="39" spans="1:8" s="125" customFormat="1" ht="14.25" customHeight="1">
      <c r="A39" s="119"/>
      <c r="B39" s="26"/>
      <c r="C39" s="102"/>
      <c r="D39" s="26"/>
      <c r="E39" s="102"/>
      <c r="F39" s="102"/>
      <c r="G39" s="102"/>
      <c r="H39" s="102"/>
    </row>
    <row r="40" spans="1:8" s="125" customFormat="1" ht="15" customHeight="1">
      <c r="A40" s="119"/>
      <c r="B40" s="102"/>
      <c r="C40" s="102"/>
      <c r="D40" s="102"/>
      <c r="E40" s="102"/>
      <c r="F40" s="102"/>
      <c r="G40" s="102"/>
      <c r="H40" s="102"/>
    </row>
    <row r="41" spans="1:8" s="125" customFormat="1" ht="15" customHeight="1">
      <c r="A41" s="119"/>
      <c r="B41" s="102"/>
      <c r="C41" s="102"/>
      <c r="D41" s="102"/>
      <c r="E41" s="102"/>
      <c r="F41" s="102"/>
      <c r="G41" s="102"/>
      <c r="H41" s="102"/>
    </row>
    <row r="42" spans="1:8" s="125" customFormat="1" ht="15" customHeight="1">
      <c r="A42" s="119"/>
      <c r="B42" s="102"/>
      <c r="C42" s="102"/>
      <c r="D42" s="102"/>
      <c r="E42" s="102"/>
      <c r="F42" s="102"/>
      <c r="G42" s="102"/>
      <c r="H42" s="102"/>
    </row>
    <row r="43" spans="1:12" s="125" customFormat="1" ht="20.25" customHeight="1">
      <c r="A43" s="119"/>
      <c r="B43" s="95" t="str">
        <f>Resumen!D42</f>
        <v>Flujo de caja libre (Dólares)</v>
      </c>
      <c r="C43" s="70"/>
      <c r="D43" s="95" t="str">
        <f>Resumen!D42</f>
        <v>Flujo de caja libre (Dólares)</v>
      </c>
      <c r="E43" s="70"/>
      <c r="F43" s="102"/>
      <c r="G43" s="341"/>
      <c r="H43" s="342"/>
      <c r="I43" s="342"/>
      <c r="J43" s="342"/>
      <c r="K43" s="342"/>
      <c r="L43" s="342"/>
    </row>
    <row r="44" spans="1:8" s="125" customFormat="1" ht="15" customHeight="1">
      <c r="A44" s="119"/>
      <c r="B44" s="97"/>
      <c r="C44" s="102"/>
      <c r="D44" s="97"/>
      <c r="E44" s="102"/>
      <c r="F44" s="102"/>
      <c r="G44" s="102"/>
      <c r="H44" s="102"/>
    </row>
    <row r="45" spans="1:8" s="125" customFormat="1" ht="15" customHeight="1">
      <c r="A45" s="119"/>
      <c r="B45" s="97"/>
      <c r="C45" s="102"/>
      <c r="D45" s="97"/>
      <c r="E45" s="102"/>
      <c r="F45" s="102"/>
      <c r="G45" s="102"/>
      <c r="H45" s="102"/>
    </row>
    <row r="46" spans="1:8" s="125" customFormat="1" ht="15" customHeight="1">
      <c r="A46" s="119"/>
      <c r="B46" s="97"/>
      <c r="C46" s="102"/>
      <c r="D46" s="97"/>
      <c r="E46" s="102"/>
      <c r="F46" s="102"/>
      <c r="G46" s="102"/>
      <c r="H46" s="102"/>
    </row>
    <row r="47" spans="1:8" s="125" customFormat="1" ht="15" customHeight="1">
      <c r="A47" s="119"/>
      <c r="B47" s="97"/>
      <c r="C47" s="102"/>
      <c r="D47" s="97"/>
      <c r="E47" s="102"/>
      <c r="F47" s="102"/>
      <c r="G47" s="102"/>
      <c r="H47" s="102"/>
    </row>
    <row r="48" spans="1:8" s="125" customFormat="1" ht="15" customHeight="1">
      <c r="A48" s="119"/>
      <c r="B48" s="97"/>
      <c r="C48" s="102"/>
      <c r="D48" s="97"/>
      <c r="E48" s="102"/>
      <c r="F48" s="102"/>
      <c r="G48" s="102"/>
      <c r="H48" s="102"/>
    </row>
    <row r="49" spans="1:8" s="125" customFormat="1" ht="15" customHeight="1">
      <c r="A49" s="119"/>
      <c r="B49" s="97"/>
      <c r="C49" s="102"/>
      <c r="D49" s="97"/>
      <c r="E49" s="102"/>
      <c r="F49" s="102"/>
      <c r="G49" s="102"/>
      <c r="H49" s="102"/>
    </row>
    <row r="50" spans="1:8" s="125" customFormat="1" ht="15" customHeight="1">
      <c r="A50" s="119"/>
      <c r="B50" s="97"/>
      <c r="C50" s="102"/>
      <c r="D50" s="97"/>
      <c r="E50" s="102"/>
      <c r="F50" s="102"/>
      <c r="G50" s="102"/>
      <c r="H50" s="102"/>
    </row>
    <row r="51" spans="1:8" s="125" customFormat="1" ht="15" customHeight="1">
      <c r="A51" s="119"/>
      <c r="B51" s="97"/>
      <c r="C51" s="102"/>
      <c r="D51" s="97"/>
      <c r="E51" s="102"/>
      <c r="F51" s="102"/>
      <c r="G51" s="102"/>
      <c r="H51" s="102"/>
    </row>
    <row r="52" spans="1:8" s="125" customFormat="1" ht="15" customHeight="1">
      <c r="A52" s="119"/>
      <c r="B52" s="97"/>
      <c r="C52" s="102"/>
      <c r="D52" s="97"/>
      <c r="E52" s="102"/>
      <c r="F52" s="102"/>
      <c r="G52" s="102"/>
      <c r="H52" s="102"/>
    </row>
    <row r="53" spans="1:8" s="125" customFormat="1" ht="15" customHeight="1">
      <c r="A53" s="119"/>
      <c r="B53" s="97"/>
      <c r="C53" s="102"/>
      <c r="D53" s="97"/>
      <c r="E53" s="102"/>
      <c r="F53" s="102"/>
      <c r="G53" s="102"/>
      <c r="H53" s="102"/>
    </row>
    <row r="54" spans="1:8" s="125" customFormat="1" ht="15" customHeight="1">
      <c r="A54" s="119"/>
      <c r="B54" s="97"/>
      <c r="C54" s="102"/>
      <c r="D54" s="97"/>
      <c r="E54" s="102"/>
      <c r="F54" s="102"/>
      <c r="G54" s="102"/>
      <c r="H54" s="102"/>
    </row>
    <row r="55" spans="1:8" s="125" customFormat="1" ht="15" customHeight="1">
      <c r="A55" s="119"/>
      <c r="B55" s="97"/>
      <c r="C55" s="102"/>
      <c r="D55" s="97"/>
      <c r="E55" s="102"/>
      <c r="F55" s="102"/>
      <c r="G55" s="102"/>
      <c r="H55" s="102"/>
    </row>
    <row r="56" spans="1:8" s="125" customFormat="1" ht="15" customHeight="1">
      <c r="A56" s="119"/>
      <c r="B56" s="97"/>
      <c r="C56" s="102"/>
      <c r="D56" s="97"/>
      <c r="E56" s="102"/>
      <c r="F56" s="102"/>
      <c r="G56" s="102"/>
      <c r="H56" s="102"/>
    </row>
    <row r="57" spans="1:8" s="125" customFormat="1" ht="15" customHeight="1">
      <c r="A57" s="119"/>
      <c r="B57" s="97"/>
      <c r="C57" s="102"/>
      <c r="D57" s="97"/>
      <c r="E57" s="102"/>
      <c r="F57" s="102"/>
      <c r="G57" s="102"/>
      <c r="H57" s="102"/>
    </row>
    <row r="58" spans="1:8" s="8" customFormat="1" ht="40.5" customHeight="1">
      <c r="A58" s="126"/>
      <c r="B58" s="20" t="s">
        <v>110</v>
      </c>
      <c r="C58" s="120"/>
      <c r="D58" s="20" t="s">
        <v>110</v>
      </c>
      <c r="E58" s="120"/>
      <c r="F58" s="120"/>
      <c r="G58" s="120"/>
      <c r="H58" s="120"/>
    </row>
    <row r="59" spans="1:8" s="125" customFormat="1" ht="15" customHeight="1">
      <c r="A59" s="119"/>
      <c r="B59" s="102"/>
      <c r="C59" s="102"/>
      <c r="D59" s="102"/>
      <c r="E59" s="102"/>
      <c r="F59" s="102"/>
      <c r="G59" s="102"/>
      <c r="H59" s="102"/>
    </row>
    <row r="60" spans="1:8" s="125" customFormat="1" ht="15" customHeight="1">
      <c r="A60" s="119"/>
      <c r="B60" s="102"/>
      <c r="C60" s="102"/>
      <c r="D60" s="102"/>
      <c r="E60" s="102"/>
      <c r="F60" s="102"/>
      <c r="G60" s="102"/>
      <c r="H60" s="102"/>
    </row>
    <row r="61" spans="1:8" s="125" customFormat="1" ht="15" customHeight="1">
      <c r="A61" s="119"/>
      <c r="B61" s="102"/>
      <c r="C61" s="102"/>
      <c r="D61" s="102"/>
      <c r="E61" s="102"/>
      <c r="F61" s="102"/>
      <c r="G61" s="102"/>
      <c r="H61" s="102"/>
    </row>
    <row r="62" spans="1:12" s="125" customFormat="1" ht="20.25" customHeight="1">
      <c r="A62" s="119"/>
      <c r="B62" s="95" t="str">
        <f>Resumen!D43</f>
        <v>Flujo de caja libre acumulado (Dólares)</v>
      </c>
      <c r="C62" s="70"/>
      <c r="D62" s="95" t="str">
        <f>Resumen!D43</f>
        <v>Flujo de caja libre acumulado (Dólares)</v>
      </c>
      <c r="E62" s="70"/>
      <c r="F62" s="102"/>
      <c r="G62" s="341"/>
      <c r="H62" s="342"/>
      <c r="I62" s="342"/>
      <c r="J62" s="342"/>
      <c r="K62" s="342"/>
      <c r="L62" s="342"/>
    </row>
    <row r="63" spans="1:8" s="125" customFormat="1" ht="15" customHeight="1">
      <c r="A63" s="119"/>
      <c r="B63" s="97"/>
      <c r="C63" s="102"/>
      <c r="D63" s="97"/>
      <c r="E63" s="102"/>
      <c r="F63" s="102"/>
      <c r="G63" s="102"/>
      <c r="H63" s="102"/>
    </row>
    <row r="64" spans="1:8" s="125" customFormat="1" ht="15" customHeight="1">
      <c r="A64" s="119"/>
      <c r="B64" s="97"/>
      <c r="C64" s="102"/>
      <c r="D64" s="97"/>
      <c r="E64" s="102"/>
      <c r="F64" s="102"/>
      <c r="G64" s="102"/>
      <c r="H64" s="102"/>
    </row>
    <row r="65" spans="1:8" s="125" customFormat="1" ht="15" customHeight="1">
      <c r="A65" s="119"/>
      <c r="B65" s="97"/>
      <c r="C65" s="102"/>
      <c r="D65" s="97"/>
      <c r="E65" s="102"/>
      <c r="F65" s="102"/>
      <c r="G65" s="102"/>
      <c r="H65" s="102"/>
    </row>
    <row r="66" spans="1:8" s="125" customFormat="1" ht="15" customHeight="1">
      <c r="A66" s="119"/>
      <c r="B66" s="97"/>
      <c r="C66" s="102"/>
      <c r="D66" s="97"/>
      <c r="E66" s="102"/>
      <c r="F66" s="102"/>
      <c r="G66" s="102"/>
      <c r="H66" s="102"/>
    </row>
    <row r="67" spans="1:8" s="125" customFormat="1" ht="15" customHeight="1">
      <c r="A67" s="119"/>
      <c r="B67" s="97"/>
      <c r="C67" s="102"/>
      <c r="D67" s="97"/>
      <c r="E67" s="102"/>
      <c r="F67" s="102"/>
      <c r="G67" s="102"/>
      <c r="H67" s="102"/>
    </row>
    <row r="68" spans="1:8" s="125" customFormat="1" ht="15" customHeight="1">
      <c r="A68" s="119"/>
      <c r="B68" s="97"/>
      <c r="C68" s="102"/>
      <c r="D68" s="97"/>
      <c r="E68" s="102"/>
      <c r="F68" s="102"/>
      <c r="G68" s="102"/>
      <c r="H68" s="102"/>
    </row>
    <row r="69" spans="1:8" s="125" customFormat="1" ht="15" customHeight="1">
      <c r="A69" s="119"/>
      <c r="B69" s="97"/>
      <c r="C69" s="102"/>
      <c r="D69" s="97"/>
      <c r="E69" s="102"/>
      <c r="F69" s="102"/>
      <c r="G69" s="102"/>
      <c r="H69" s="102"/>
    </row>
    <row r="70" spans="1:8" s="125" customFormat="1" ht="15" customHeight="1">
      <c r="A70" s="119"/>
      <c r="B70" s="97"/>
      <c r="C70" s="102"/>
      <c r="D70" s="97"/>
      <c r="E70" s="102"/>
      <c r="F70" s="102"/>
      <c r="G70" s="102"/>
      <c r="H70" s="102"/>
    </row>
    <row r="71" spans="1:8" s="125" customFormat="1" ht="15" customHeight="1">
      <c r="A71" s="119"/>
      <c r="B71" s="97"/>
      <c r="C71" s="102"/>
      <c r="D71" s="97"/>
      <c r="E71" s="102"/>
      <c r="F71" s="102"/>
      <c r="G71" s="102"/>
      <c r="H71" s="102"/>
    </row>
    <row r="72" spans="1:8" s="125" customFormat="1" ht="15" customHeight="1">
      <c r="A72" s="119"/>
      <c r="B72" s="97"/>
      <c r="C72" s="102"/>
      <c r="D72" s="97"/>
      <c r="E72" s="102"/>
      <c r="F72" s="102"/>
      <c r="G72" s="102"/>
      <c r="H72" s="102"/>
    </row>
    <row r="73" spans="1:8" s="125" customFormat="1" ht="15" customHeight="1">
      <c r="A73" s="119"/>
      <c r="B73" s="97"/>
      <c r="C73" s="102"/>
      <c r="D73" s="97"/>
      <c r="E73" s="102"/>
      <c r="F73" s="102"/>
      <c r="G73" s="102"/>
      <c r="H73" s="102"/>
    </row>
    <row r="74" spans="1:8" s="125" customFormat="1" ht="15" customHeight="1">
      <c r="A74" s="119"/>
      <c r="B74" s="97"/>
      <c r="C74" s="102"/>
      <c r="D74" s="97"/>
      <c r="E74" s="102"/>
      <c r="F74" s="102"/>
      <c r="G74" s="102"/>
      <c r="H74" s="102"/>
    </row>
    <row r="75" spans="1:8" s="125" customFormat="1" ht="15" customHeight="1">
      <c r="A75" s="119"/>
      <c r="B75" s="97"/>
      <c r="C75" s="102"/>
      <c r="D75" s="97"/>
      <c r="E75" s="102"/>
      <c r="F75" s="102"/>
      <c r="G75" s="102"/>
      <c r="H75" s="102"/>
    </row>
    <row r="76" spans="1:8" s="125" customFormat="1" ht="15" customHeight="1">
      <c r="A76" s="119"/>
      <c r="B76" s="97"/>
      <c r="C76" s="102"/>
      <c r="D76" s="97"/>
      <c r="E76" s="102"/>
      <c r="F76" s="102"/>
      <c r="G76" s="102"/>
      <c r="H76" s="102"/>
    </row>
    <row r="77" spans="1:8" s="8" customFormat="1" ht="54" customHeight="1">
      <c r="A77" s="126"/>
      <c r="B77" s="20" t="s">
        <v>73</v>
      </c>
      <c r="C77" s="120"/>
      <c r="D77" s="20" t="s">
        <v>73</v>
      </c>
      <c r="E77" s="120"/>
      <c r="F77" s="120"/>
      <c r="G77" s="120"/>
      <c r="H77" s="120"/>
    </row>
    <row r="78" spans="1:8" s="125" customFormat="1" ht="15" customHeight="1">
      <c r="A78" s="119"/>
      <c r="B78" s="102"/>
      <c r="C78" s="102"/>
      <c r="D78" s="102"/>
      <c r="E78" s="102"/>
      <c r="F78" s="102"/>
      <c r="G78" s="102"/>
      <c r="H78" s="102"/>
    </row>
    <row r="79" spans="1:8" s="125" customFormat="1" ht="15" customHeight="1">
      <c r="A79" s="119"/>
      <c r="B79" s="102"/>
      <c r="C79" s="102"/>
      <c r="D79" s="102"/>
      <c r="E79" s="102"/>
      <c r="F79" s="102"/>
      <c r="G79" s="102"/>
      <c r="H79" s="102"/>
    </row>
    <row r="80" spans="1:8" s="125" customFormat="1" ht="15" customHeight="1">
      <c r="A80" s="119"/>
      <c r="B80" s="102"/>
      <c r="C80" s="102"/>
      <c r="D80" s="102"/>
      <c r="E80" s="102"/>
      <c r="F80" s="102"/>
      <c r="G80" s="102"/>
      <c r="H80" s="102"/>
    </row>
    <row r="81" spans="1:12" s="125" customFormat="1" ht="20.25" customHeight="1">
      <c r="A81" s="119"/>
      <c r="B81" s="95" t="str">
        <f>Resumen!D44</f>
        <v>Financiamiento necesario (Dólares)</v>
      </c>
      <c r="C81" s="70"/>
      <c r="D81" s="95" t="str">
        <f>Resumen!D44</f>
        <v>Financiamiento necesario (Dólares)</v>
      </c>
      <c r="E81" s="70"/>
      <c r="F81" s="102"/>
      <c r="G81" s="341"/>
      <c r="H81" s="342"/>
      <c r="I81" s="342"/>
      <c r="J81" s="342"/>
      <c r="K81" s="342"/>
      <c r="L81" s="342"/>
    </row>
    <row r="82" spans="1:8" s="125" customFormat="1" ht="15" customHeight="1">
      <c r="A82" s="119"/>
      <c r="B82" s="97"/>
      <c r="C82" s="102"/>
      <c r="D82" s="97"/>
      <c r="E82" s="102"/>
      <c r="F82" s="102"/>
      <c r="G82" s="102"/>
      <c r="H82" s="102"/>
    </row>
    <row r="83" spans="1:8" s="125" customFormat="1" ht="15" customHeight="1">
      <c r="A83" s="119"/>
      <c r="B83" s="97"/>
      <c r="C83" s="102"/>
      <c r="D83" s="97"/>
      <c r="E83" s="102"/>
      <c r="F83" s="102"/>
      <c r="G83" s="102"/>
      <c r="H83" s="102"/>
    </row>
    <row r="84" spans="1:8" s="125" customFormat="1" ht="15" customHeight="1">
      <c r="A84" s="119"/>
      <c r="B84" s="97"/>
      <c r="C84" s="102"/>
      <c r="D84" s="97"/>
      <c r="E84" s="102"/>
      <c r="F84" s="102"/>
      <c r="G84" s="102"/>
      <c r="H84" s="102"/>
    </row>
    <row r="85" spans="1:8" s="125" customFormat="1" ht="15" customHeight="1">
      <c r="A85" s="119"/>
      <c r="B85" s="97"/>
      <c r="C85" s="102"/>
      <c r="D85" s="97"/>
      <c r="E85" s="102"/>
      <c r="F85" s="102"/>
      <c r="G85" s="102"/>
      <c r="H85" s="102"/>
    </row>
    <row r="86" spans="1:8" s="125" customFormat="1" ht="15" customHeight="1">
      <c r="A86" s="119"/>
      <c r="B86" s="97"/>
      <c r="C86" s="102"/>
      <c r="D86" s="97"/>
      <c r="E86" s="102"/>
      <c r="F86" s="102"/>
      <c r="G86" s="102"/>
      <c r="H86" s="102"/>
    </row>
    <row r="87" spans="1:8" s="125" customFormat="1" ht="15" customHeight="1">
      <c r="A87" s="119"/>
      <c r="B87" s="97"/>
      <c r="C87" s="102"/>
      <c r="D87" s="97"/>
      <c r="E87" s="102"/>
      <c r="F87" s="102"/>
      <c r="G87" s="102"/>
      <c r="H87" s="102"/>
    </row>
    <row r="88" spans="1:8" s="125" customFormat="1" ht="15" customHeight="1">
      <c r="A88" s="119"/>
      <c r="B88" s="97"/>
      <c r="C88" s="102"/>
      <c r="D88" s="97"/>
      <c r="E88" s="102"/>
      <c r="F88" s="102"/>
      <c r="G88" s="102"/>
      <c r="H88" s="102"/>
    </row>
    <row r="89" spans="1:8" s="125" customFormat="1" ht="15" customHeight="1">
      <c r="A89" s="119"/>
      <c r="B89" s="97"/>
      <c r="C89" s="102"/>
      <c r="D89" s="97"/>
      <c r="E89" s="102"/>
      <c r="F89" s="102"/>
      <c r="G89" s="102"/>
      <c r="H89" s="102"/>
    </row>
    <row r="90" spans="1:8" s="125" customFormat="1" ht="15" customHeight="1">
      <c r="A90" s="119"/>
      <c r="B90" s="97"/>
      <c r="C90" s="102"/>
      <c r="D90" s="97"/>
      <c r="E90" s="102"/>
      <c r="F90" s="102"/>
      <c r="G90" s="102"/>
      <c r="H90" s="102"/>
    </row>
    <row r="91" spans="1:8" s="125" customFormat="1" ht="15" customHeight="1">
      <c r="A91" s="119"/>
      <c r="B91" s="97"/>
      <c r="C91" s="102"/>
      <c r="D91" s="97"/>
      <c r="E91" s="102"/>
      <c r="F91" s="102"/>
      <c r="G91" s="102"/>
      <c r="H91" s="102"/>
    </row>
    <row r="92" spans="1:8" s="125" customFormat="1" ht="15" customHeight="1">
      <c r="A92" s="119"/>
      <c r="B92" s="97"/>
      <c r="C92" s="102"/>
      <c r="D92" s="97"/>
      <c r="E92" s="102"/>
      <c r="F92" s="102"/>
      <c r="G92" s="102"/>
      <c r="H92" s="102"/>
    </row>
    <row r="93" spans="1:8" s="125" customFormat="1" ht="15" customHeight="1">
      <c r="A93" s="119"/>
      <c r="B93" s="97"/>
      <c r="C93" s="102"/>
      <c r="D93" s="97"/>
      <c r="E93" s="102"/>
      <c r="F93" s="102"/>
      <c r="G93" s="102"/>
      <c r="H93" s="102"/>
    </row>
    <row r="94" spans="1:8" s="125" customFormat="1" ht="15" customHeight="1">
      <c r="A94" s="119"/>
      <c r="B94" s="97"/>
      <c r="C94" s="102"/>
      <c r="D94" s="97"/>
      <c r="E94" s="102"/>
      <c r="F94" s="102"/>
      <c r="G94" s="102"/>
      <c r="H94" s="102"/>
    </row>
    <row r="95" spans="1:8" s="125" customFormat="1" ht="15" customHeight="1">
      <c r="A95" s="119"/>
      <c r="B95" s="97"/>
      <c r="C95" s="102"/>
      <c r="D95" s="97"/>
      <c r="E95" s="102"/>
      <c r="F95" s="102"/>
      <c r="G95" s="102"/>
      <c r="H95" s="102"/>
    </row>
    <row r="96" spans="1:8" s="8" customFormat="1" ht="30.75" customHeight="1">
      <c r="A96" s="126"/>
      <c r="B96" s="20" t="s">
        <v>102</v>
      </c>
      <c r="C96" s="120"/>
      <c r="D96" s="20" t="s">
        <v>102</v>
      </c>
      <c r="E96" s="120"/>
      <c r="F96" s="120"/>
      <c r="G96" s="120"/>
      <c r="H96" s="120"/>
    </row>
    <row r="97" spans="1:8" s="125" customFormat="1" ht="15" customHeight="1">
      <c r="A97" s="119"/>
      <c r="B97" s="102"/>
      <c r="C97" s="102"/>
      <c r="D97" s="102"/>
      <c r="E97" s="102"/>
      <c r="F97" s="102"/>
      <c r="G97" s="102"/>
      <c r="H97" s="102"/>
    </row>
    <row r="98" spans="1:8" s="125" customFormat="1" ht="15" customHeight="1">
      <c r="A98" s="119"/>
      <c r="B98" s="102"/>
      <c r="C98" s="102"/>
      <c r="D98" s="102"/>
      <c r="E98" s="102"/>
      <c r="F98" s="102"/>
      <c r="G98" s="102"/>
      <c r="H98" s="102"/>
    </row>
    <row r="99" spans="1:8" s="125" customFormat="1" ht="15" customHeight="1">
      <c r="A99" s="119"/>
      <c r="B99" s="102"/>
      <c r="C99" s="102"/>
      <c r="D99" s="102"/>
      <c r="E99" s="102"/>
      <c r="F99" s="102"/>
      <c r="G99" s="102"/>
      <c r="H99" s="102"/>
    </row>
    <row r="100" spans="1:12" s="125" customFormat="1" ht="20.25" customHeight="1">
      <c r="A100" s="119"/>
      <c r="B100" s="95" t="str">
        <f>Resumen!D45</f>
        <v>Flujo de caja del negocio (Dólares)</v>
      </c>
      <c r="C100" s="70"/>
      <c r="D100" s="95" t="str">
        <f>Resumen!D45</f>
        <v>Flujo de caja del negocio (Dólares)</v>
      </c>
      <c r="E100" s="70"/>
      <c r="F100" s="102"/>
      <c r="G100" s="341"/>
      <c r="H100" s="342"/>
      <c r="I100" s="342"/>
      <c r="J100" s="342"/>
      <c r="K100" s="342"/>
      <c r="L100" s="342"/>
    </row>
    <row r="101" spans="1:8" s="125" customFormat="1" ht="15" customHeight="1">
      <c r="A101" s="119"/>
      <c r="B101" s="97"/>
      <c r="C101" s="102"/>
      <c r="D101" s="97"/>
      <c r="E101" s="102"/>
      <c r="F101" s="102"/>
      <c r="G101" s="102"/>
      <c r="H101" s="102"/>
    </row>
    <row r="102" spans="1:8" s="125" customFormat="1" ht="15" customHeight="1">
      <c r="A102" s="119"/>
      <c r="B102" s="97"/>
      <c r="C102" s="102"/>
      <c r="D102" s="97"/>
      <c r="E102" s="102"/>
      <c r="F102" s="102"/>
      <c r="G102" s="102"/>
      <c r="H102" s="102"/>
    </row>
    <row r="103" spans="1:8" s="125" customFormat="1" ht="15" customHeight="1">
      <c r="A103" s="119"/>
      <c r="B103" s="97"/>
      <c r="C103" s="102"/>
      <c r="D103" s="97"/>
      <c r="E103" s="102"/>
      <c r="F103" s="102"/>
      <c r="G103" s="102"/>
      <c r="H103" s="102"/>
    </row>
    <row r="104" spans="1:8" s="125" customFormat="1" ht="15" customHeight="1">
      <c r="A104" s="119"/>
      <c r="B104" s="97"/>
      <c r="C104" s="102"/>
      <c r="D104" s="97"/>
      <c r="E104" s="102"/>
      <c r="F104" s="102"/>
      <c r="G104" s="102"/>
      <c r="H104" s="102"/>
    </row>
    <row r="105" spans="1:8" s="125" customFormat="1" ht="15" customHeight="1">
      <c r="A105" s="119"/>
      <c r="B105" s="97"/>
      <c r="C105" s="102"/>
      <c r="D105" s="97"/>
      <c r="E105" s="102"/>
      <c r="F105" s="102"/>
      <c r="G105" s="102"/>
      <c r="H105" s="102"/>
    </row>
    <row r="106" spans="1:8" s="125" customFormat="1" ht="15" customHeight="1">
      <c r="A106" s="119"/>
      <c r="B106" s="97"/>
      <c r="C106" s="102"/>
      <c r="D106" s="97"/>
      <c r="E106" s="102"/>
      <c r="F106" s="102"/>
      <c r="G106" s="102"/>
      <c r="H106" s="102"/>
    </row>
    <row r="107" spans="1:8" s="125" customFormat="1" ht="15" customHeight="1">
      <c r="A107" s="119"/>
      <c r="B107" s="97"/>
      <c r="C107" s="102"/>
      <c r="D107" s="97"/>
      <c r="E107" s="102"/>
      <c r="F107" s="102"/>
      <c r="G107" s="102"/>
      <c r="H107" s="102"/>
    </row>
    <row r="108" spans="1:8" s="125" customFormat="1" ht="15" customHeight="1">
      <c r="A108" s="119"/>
      <c r="B108" s="97"/>
      <c r="C108" s="102"/>
      <c r="D108" s="97"/>
      <c r="E108" s="102"/>
      <c r="F108" s="102"/>
      <c r="G108" s="102"/>
      <c r="H108" s="102"/>
    </row>
    <row r="109" spans="1:8" s="125" customFormat="1" ht="15" customHeight="1">
      <c r="A109" s="119"/>
      <c r="B109" s="97"/>
      <c r="C109" s="102"/>
      <c r="D109" s="97"/>
      <c r="E109" s="102"/>
      <c r="F109" s="102"/>
      <c r="G109" s="102"/>
      <c r="H109" s="102"/>
    </row>
    <row r="110" spans="1:8" s="125" customFormat="1" ht="15" customHeight="1">
      <c r="A110" s="119"/>
      <c r="B110" s="97"/>
      <c r="C110" s="102"/>
      <c r="D110" s="97"/>
      <c r="E110" s="102"/>
      <c r="F110" s="102"/>
      <c r="G110" s="102"/>
      <c r="H110" s="102"/>
    </row>
    <row r="111" spans="1:8" s="125" customFormat="1" ht="15" customHeight="1">
      <c r="A111" s="119"/>
      <c r="B111" s="97"/>
      <c r="C111" s="102"/>
      <c r="D111" s="97"/>
      <c r="E111" s="102"/>
      <c r="F111" s="102"/>
      <c r="G111" s="102"/>
      <c r="H111" s="102"/>
    </row>
    <row r="112" spans="1:8" s="125" customFormat="1" ht="15" customHeight="1">
      <c r="A112" s="119"/>
      <c r="B112" s="97"/>
      <c r="C112" s="102"/>
      <c r="D112" s="97"/>
      <c r="E112" s="102"/>
      <c r="F112" s="102"/>
      <c r="G112" s="102"/>
      <c r="H112" s="102"/>
    </row>
    <row r="113" spans="1:8" s="125" customFormat="1" ht="15" customHeight="1">
      <c r="A113" s="119"/>
      <c r="B113" s="97"/>
      <c r="C113" s="102"/>
      <c r="D113" s="97"/>
      <c r="E113" s="102"/>
      <c r="F113" s="102"/>
      <c r="G113" s="102"/>
      <c r="H113" s="102"/>
    </row>
    <row r="114" spans="1:8" s="125" customFormat="1" ht="15" customHeight="1">
      <c r="A114" s="119"/>
      <c r="B114" s="97"/>
      <c r="C114" s="102"/>
      <c r="D114" s="97"/>
      <c r="E114" s="102"/>
      <c r="F114" s="102"/>
      <c r="G114" s="102"/>
      <c r="H114" s="102"/>
    </row>
    <row r="115" spans="1:8" s="8" customFormat="1" ht="27.75" customHeight="1">
      <c r="A115" s="126"/>
      <c r="B115" s="20" t="s">
        <v>145</v>
      </c>
      <c r="C115" s="120"/>
      <c r="D115" s="20" t="s">
        <v>145</v>
      </c>
      <c r="E115" s="120"/>
      <c r="F115" s="120"/>
      <c r="G115" s="120"/>
      <c r="H115" s="120"/>
    </row>
    <row r="116" spans="1:8" s="125" customFormat="1" ht="15" customHeight="1">
      <c r="A116" s="119"/>
      <c r="B116" s="102"/>
      <c r="C116" s="102"/>
      <c r="D116" s="102"/>
      <c r="E116" s="102"/>
      <c r="F116" s="102"/>
      <c r="G116" s="102"/>
      <c r="H116" s="102"/>
    </row>
    <row r="117" spans="1:8" s="125" customFormat="1" ht="15" customHeight="1">
      <c r="A117" s="119"/>
      <c r="B117" s="102"/>
      <c r="C117" s="102"/>
      <c r="D117" s="102"/>
      <c r="E117" s="102"/>
      <c r="F117" s="102"/>
      <c r="G117" s="102"/>
      <c r="H117" s="102"/>
    </row>
    <row r="118" spans="1:8" s="125" customFormat="1" ht="14.25" customHeight="1">
      <c r="A118" s="119"/>
      <c r="B118" s="102"/>
      <c r="C118" s="102"/>
      <c r="D118" s="102"/>
      <c r="E118" s="102"/>
      <c r="F118" s="102"/>
      <c r="G118" s="102"/>
      <c r="H118" s="102"/>
    </row>
    <row r="119" spans="1:12" s="125" customFormat="1" ht="25.5" customHeight="1">
      <c r="A119" s="119"/>
      <c r="B119" s="338" t="str">
        <f>Resumen!D45</f>
        <v>Flujo de caja del negocio (Dólares)</v>
      </c>
      <c r="C119" s="339"/>
      <c r="D119" s="340"/>
      <c r="E119" s="70"/>
      <c r="F119" s="102"/>
      <c r="G119" s="103"/>
      <c r="H119" s="57"/>
      <c r="I119" s="57"/>
      <c r="J119" s="57"/>
      <c r="K119" s="57"/>
      <c r="L119" s="57"/>
    </row>
    <row r="120" spans="1:8" s="125" customFormat="1" ht="14.25" customHeight="1">
      <c r="A120" s="119"/>
      <c r="B120" s="85"/>
      <c r="C120" s="102"/>
      <c r="D120" s="109"/>
      <c r="E120" s="102"/>
      <c r="F120" s="102"/>
      <c r="G120" s="102"/>
      <c r="H120" s="102"/>
    </row>
    <row r="121" spans="1:8" s="125" customFormat="1" ht="14.25" customHeight="1">
      <c r="A121" s="119"/>
      <c r="B121" s="85"/>
      <c r="C121" s="102"/>
      <c r="D121" s="109"/>
      <c r="E121" s="102"/>
      <c r="F121" s="102"/>
      <c r="G121" s="102"/>
      <c r="H121" s="102"/>
    </row>
    <row r="122" spans="1:8" s="125" customFormat="1" ht="14.25" customHeight="1">
      <c r="A122" s="119"/>
      <c r="B122" s="85"/>
      <c r="C122" s="102"/>
      <c r="D122" s="109"/>
      <c r="E122" s="102"/>
      <c r="F122" s="102"/>
      <c r="G122" s="102"/>
      <c r="H122" s="102"/>
    </row>
    <row r="123" spans="1:8" s="125" customFormat="1" ht="14.25" customHeight="1">
      <c r="A123" s="119"/>
      <c r="B123" s="85"/>
      <c r="C123" s="102"/>
      <c r="D123" s="109"/>
      <c r="E123" s="102"/>
      <c r="F123" s="102"/>
      <c r="G123" s="102"/>
      <c r="H123" s="102"/>
    </row>
    <row r="124" spans="1:8" s="125" customFormat="1" ht="14.25" customHeight="1">
      <c r="A124" s="119"/>
      <c r="B124" s="85"/>
      <c r="C124" s="102"/>
      <c r="D124" s="109"/>
      <c r="E124" s="102"/>
      <c r="F124" s="102"/>
      <c r="G124" s="102"/>
      <c r="H124" s="102"/>
    </row>
    <row r="125" spans="1:8" s="125" customFormat="1" ht="14.25" customHeight="1">
      <c r="A125" s="119"/>
      <c r="B125" s="85"/>
      <c r="C125" s="102"/>
      <c r="D125" s="109"/>
      <c r="E125" s="102"/>
      <c r="F125" s="102"/>
      <c r="G125" s="102"/>
      <c r="H125" s="102"/>
    </row>
    <row r="126" spans="1:8" s="125" customFormat="1" ht="14.25" customHeight="1">
      <c r="A126" s="119"/>
      <c r="B126" s="85"/>
      <c r="C126" s="102"/>
      <c r="D126" s="109"/>
      <c r="E126" s="102"/>
      <c r="F126" s="102"/>
      <c r="G126" s="102"/>
      <c r="H126" s="102"/>
    </row>
    <row r="127" spans="1:8" s="125" customFormat="1" ht="14.25" customHeight="1">
      <c r="A127" s="119"/>
      <c r="B127" s="85"/>
      <c r="C127" s="102"/>
      <c r="D127" s="109"/>
      <c r="E127" s="102"/>
      <c r="F127" s="102"/>
      <c r="G127" s="102"/>
      <c r="H127" s="102"/>
    </row>
    <row r="128" spans="1:8" s="125" customFormat="1" ht="14.25" customHeight="1">
      <c r="A128" s="119"/>
      <c r="B128" s="85"/>
      <c r="C128" s="102"/>
      <c r="D128" s="109"/>
      <c r="E128" s="102"/>
      <c r="F128" s="102"/>
      <c r="G128" s="102"/>
      <c r="H128" s="102"/>
    </row>
    <row r="129" spans="1:8" s="125" customFormat="1" ht="14.25" customHeight="1">
      <c r="A129" s="119"/>
      <c r="B129" s="85"/>
      <c r="C129" s="102"/>
      <c r="D129" s="109"/>
      <c r="E129" s="102"/>
      <c r="F129" s="102"/>
      <c r="G129" s="102"/>
      <c r="H129" s="102"/>
    </row>
    <row r="130" spans="1:8" s="125" customFormat="1" ht="14.25" customHeight="1">
      <c r="A130" s="119"/>
      <c r="B130" s="85"/>
      <c r="C130" s="102"/>
      <c r="D130" s="109"/>
      <c r="E130" s="102"/>
      <c r="F130" s="102"/>
      <c r="G130" s="102"/>
      <c r="H130" s="102"/>
    </row>
    <row r="131" spans="1:8" s="125" customFormat="1" ht="14.25" customHeight="1">
      <c r="A131" s="119"/>
      <c r="B131" s="85"/>
      <c r="C131" s="102"/>
      <c r="D131" s="109"/>
      <c r="E131" s="102"/>
      <c r="F131" s="102"/>
      <c r="G131" s="102"/>
      <c r="H131" s="102"/>
    </row>
    <row r="132" spans="1:8" s="125" customFormat="1" ht="14.25" customHeight="1">
      <c r="A132" s="119"/>
      <c r="B132" s="85"/>
      <c r="C132" s="102"/>
      <c r="D132" s="109"/>
      <c r="E132" s="102"/>
      <c r="F132" s="102"/>
      <c r="G132" s="102"/>
      <c r="H132" s="102"/>
    </row>
    <row r="133" spans="1:8" s="125" customFormat="1" ht="14.25" customHeight="1">
      <c r="A133" s="119"/>
      <c r="B133" s="85"/>
      <c r="C133" s="102"/>
      <c r="D133" s="109"/>
      <c r="E133" s="102"/>
      <c r="F133" s="102"/>
      <c r="G133" s="102"/>
      <c r="H133" s="102"/>
    </row>
    <row r="134" spans="1:8" s="125" customFormat="1" ht="14.25" customHeight="1">
      <c r="A134" s="119"/>
      <c r="B134" s="85"/>
      <c r="C134" s="102"/>
      <c r="D134" s="109"/>
      <c r="E134" s="102"/>
      <c r="F134" s="102"/>
      <c r="G134" s="102"/>
      <c r="H134" s="102"/>
    </row>
    <row r="135" spans="1:8" s="125" customFormat="1" ht="14.25" customHeight="1">
      <c r="A135" s="119"/>
      <c r="B135" s="85"/>
      <c r="C135" s="102"/>
      <c r="D135" s="109"/>
      <c r="E135" s="102"/>
      <c r="F135" s="102"/>
      <c r="G135" s="102"/>
      <c r="H135" s="102"/>
    </row>
    <row r="136" spans="1:8" s="125" customFormat="1" ht="14.25" customHeight="1">
      <c r="A136" s="119"/>
      <c r="B136" s="85"/>
      <c r="C136" s="102"/>
      <c r="D136" s="109"/>
      <c r="E136" s="102"/>
      <c r="F136" s="102"/>
      <c r="G136" s="102"/>
      <c r="H136" s="102"/>
    </row>
    <row r="137" spans="1:8" s="125" customFormat="1" ht="14.25" customHeight="1">
      <c r="A137" s="119"/>
      <c r="B137" s="89"/>
      <c r="C137" s="6"/>
      <c r="D137" s="67"/>
      <c r="E137" s="102"/>
      <c r="F137" s="102"/>
      <c r="G137" s="102"/>
      <c r="H137" s="102"/>
    </row>
    <row r="138" spans="1:8" s="125" customFormat="1" ht="14.25" customHeight="1">
      <c r="A138" s="119"/>
      <c r="B138" s="102"/>
      <c r="C138" s="102"/>
      <c r="D138" s="102"/>
      <c r="E138" s="102"/>
      <c r="F138" s="102"/>
      <c r="G138" s="102"/>
      <c r="H138" s="102"/>
    </row>
    <row r="139" spans="1:8" s="125" customFormat="1" ht="15" customHeight="1">
      <c r="A139" s="119"/>
      <c r="B139" s="102"/>
      <c r="C139" s="102"/>
      <c r="D139" s="102"/>
      <c r="E139" s="102"/>
      <c r="F139" s="102"/>
      <c r="G139" s="102"/>
      <c r="H139" s="102"/>
    </row>
    <row r="140" spans="1:8" s="125" customFormat="1" ht="15" customHeight="1">
      <c r="A140" s="119"/>
      <c r="B140" s="102"/>
      <c r="C140" s="102"/>
      <c r="D140" s="102"/>
      <c r="E140" s="102"/>
      <c r="F140" s="102"/>
      <c r="G140" s="102"/>
      <c r="H140" s="102"/>
    </row>
    <row r="141" spans="1:12" s="125" customFormat="1" ht="20.25" customHeight="1">
      <c r="A141" s="119"/>
      <c r="B141" s="95" t="str">
        <f>Resumen!D46</f>
        <v>Saldo de caja del negocio (Dólares)</v>
      </c>
      <c r="C141" s="70"/>
      <c r="D141" s="95" t="str">
        <f>Resumen!D46</f>
        <v>Saldo de caja del negocio (Dólares)</v>
      </c>
      <c r="E141" s="70"/>
      <c r="F141" s="102"/>
      <c r="G141" s="341"/>
      <c r="H141" s="342"/>
      <c r="I141" s="342"/>
      <c r="J141" s="342"/>
      <c r="K141" s="342"/>
      <c r="L141" s="342"/>
    </row>
    <row r="142" spans="1:8" s="125" customFormat="1" ht="15" customHeight="1">
      <c r="A142" s="119"/>
      <c r="B142" s="97"/>
      <c r="C142" s="102"/>
      <c r="D142" s="97"/>
      <c r="E142" s="102"/>
      <c r="F142" s="102"/>
      <c r="G142" s="102"/>
      <c r="H142" s="102"/>
    </row>
    <row r="143" spans="1:8" s="125" customFormat="1" ht="15" customHeight="1">
      <c r="A143" s="119"/>
      <c r="B143" s="97"/>
      <c r="C143" s="102"/>
      <c r="D143" s="97"/>
      <c r="E143" s="102"/>
      <c r="F143" s="102"/>
      <c r="G143" s="102"/>
      <c r="H143" s="102"/>
    </row>
    <row r="144" spans="1:8" s="125" customFormat="1" ht="15" customHeight="1">
      <c r="A144" s="119"/>
      <c r="B144" s="97"/>
      <c r="C144" s="102"/>
      <c r="D144" s="97"/>
      <c r="E144" s="102"/>
      <c r="F144" s="102"/>
      <c r="G144" s="102"/>
      <c r="H144" s="102"/>
    </row>
    <row r="145" spans="1:8" s="125" customFormat="1" ht="15" customHeight="1">
      <c r="A145" s="119"/>
      <c r="B145" s="97"/>
      <c r="C145" s="102"/>
      <c r="D145" s="97"/>
      <c r="E145" s="102"/>
      <c r="F145" s="102"/>
      <c r="G145" s="102"/>
      <c r="H145" s="102"/>
    </row>
    <row r="146" spans="1:8" s="125" customFormat="1" ht="15" customHeight="1">
      <c r="A146" s="119"/>
      <c r="B146" s="97"/>
      <c r="C146" s="102"/>
      <c r="D146" s="97"/>
      <c r="E146" s="102"/>
      <c r="F146" s="102"/>
      <c r="G146" s="102"/>
      <c r="H146" s="102"/>
    </row>
    <row r="147" spans="1:8" s="125" customFormat="1" ht="15" customHeight="1">
      <c r="A147" s="119"/>
      <c r="B147" s="97"/>
      <c r="C147" s="102"/>
      <c r="D147" s="97"/>
      <c r="E147" s="102"/>
      <c r="F147" s="102"/>
      <c r="G147" s="102"/>
      <c r="H147" s="102"/>
    </row>
    <row r="148" spans="1:8" s="125" customFormat="1" ht="15" customHeight="1">
      <c r="A148" s="119"/>
      <c r="B148" s="97"/>
      <c r="C148" s="102"/>
      <c r="D148" s="97"/>
      <c r="E148" s="102"/>
      <c r="F148" s="102"/>
      <c r="G148" s="102"/>
      <c r="H148" s="102"/>
    </row>
    <row r="149" spans="1:8" s="125" customFormat="1" ht="15" customHeight="1">
      <c r="A149" s="119"/>
      <c r="B149" s="97"/>
      <c r="C149" s="102"/>
      <c r="D149" s="97"/>
      <c r="E149" s="102"/>
      <c r="F149" s="102"/>
      <c r="G149" s="102"/>
      <c r="H149" s="102"/>
    </row>
    <row r="150" spans="1:8" s="125" customFormat="1" ht="15" customHeight="1">
      <c r="A150" s="119"/>
      <c r="B150" s="97"/>
      <c r="C150" s="102"/>
      <c r="D150" s="97"/>
      <c r="E150" s="102"/>
      <c r="F150" s="102"/>
      <c r="G150" s="102"/>
      <c r="H150" s="102"/>
    </row>
    <row r="151" spans="1:8" s="125" customFormat="1" ht="15" customHeight="1">
      <c r="A151" s="119"/>
      <c r="B151" s="97"/>
      <c r="C151" s="102"/>
      <c r="D151" s="97"/>
      <c r="E151" s="102"/>
      <c r="F151" s="102"/>
      <c r="G151" s="102"/>
      <c r="H151" s="102"/>
    </row>
    <row r="152" spans="1:8" s="125" customFormat="1" ht="15" customHeight="1">
      <c r="A152" s="119"/>
      <c r="B152" s="97"/>
      <c r="C152" s="102"/>
      <c r="D152" s="97"/>
      <c r="E152" s="102"/>
      <c r="F152" s="102"/>
      <c r="G152" s="102"/>
      <c r="H152" s="102"/>
    </row>
    <row r="153" spans="1:8" s="125" customFormat="1" ht="15" customHeight="1">
      <c r="A153" s="119"/>
      <c r="B153" s="97"/>
      <c r="C153" s="102"/>
      <c r="D153" s="97"/>
      <c r="E153" s="102"/>
      <c r="F153" s="102"/>
      <c r="G153" s="102"/>
      <c r="H153" s="102"/>
    </row>
    <row r="154" spans="1:8" s="125" customFormat="1" ht="15" customHeight="1">
      <c r="A154" s="119"/>
      <c r="B154" s="97"/>
      <c r="C154" s="102"/>
      <c r="D154" s="97"/>
      <c r="E154" s="102"/>
      <c r="F154" s="102"/>
      <c r="G154" s="102"/>
      <c r="H154" s="102"/>
    </row>
    <row r="155" spans="1:8" s="125" customFormat="1" ht="15" customHeight="1">
      <c r="A155" s="119"/>
      <c r="B155" s="97"/>
      <c r="C155" s="102"/>
      <c r="D155" s="97"/>
      <c r="E155" s="102"/>
      <c r="F155" s="102"/>
      <c r="G155" s="102"/>
      <c r="H155" s="102"/>
    </row>
    <row r="156" spans="1:8" s="8" customFormat="1" ht="52.5" customHeight="1">
      <c r="A156" s="126"/>
      <c r="B156" s="20" t="s">
        <v>218</v>
      </c>
      <c r="C156" s="120"/>
      <c r="D156" s="20" t="s">
        <v>218</v>
      </c>
      <c r="E156" s="120"/>
      <c r="F156" s="120"/>
      <c r="G156" s="120"/>
      <c r="H156" s="120"/>
    </row>
    <row r="157" spans="1:8" s="125" customFormat="1" ht="15" customHeight="1">
      <c r="A157" s="119"/>
      <c r="B157" s="102"/>
      <c r="C157" s="102"/>
      <c r="D157" s="102"/>
      <c r="E157" s="102"/>
      <c r="F157" s="102"/>
      <c r="G157" s="102"/>
      <c r="H157" s="102"/>
    </row>
    <row r="158" spans="1:8" s="125" customFormat="1" ht="15" customHeight="1">
      <c r="A158" s="119"/>
      <c r="B158" s="102"/>
      <c r="C158" s="102"/>
      <c r="D158" s="102"/>
      <c r="E158" s="102"/>
      <c r="F158" s="102"/>
      <c r="G158" s="102"/>
      <c r="H158" s="102"/>
    </row>
    <row r="159" spans="1:8" s="125" customFormat="1" ht="15" customHeight="1">
      <c r="A159" s="119"/>
      <c r="B159" s="102"/>
      <c r="C159" s="102"/>
      <c r="D159" s="102"/>
      <c r="E159" s="102"/>
      <c r="F159" s="102"/>
      <c r="G159" s="102"/>
      <c r="H159" s="102"/>
    </row>
    <row r="160" spans="1:12" s="125" customFormat="1" ht="20.25" customHeight="1">
      <c r="A160" s="119"/>
      <c r="B160" s="95" t="str">
        <f>Resumen!D47</f>
        <v>Punto de equilibrio (Dólares)</v>
      </c>
      <c r="C160" s="70"/>
      <c r="D160" s="95" t="str">
        <f>Resumen!D47</f>
        <v>Punto de equilibrio (Dólares)</v>
      </c>
      <c r="E160" s="70"/>
      <c r="F160" s="102"/>
      <c r="G160" s="341"/>
      <c r="H160" s="342"/>
      <c r="I160" s="342"/>
      <c r="J160" s="342"/>
      <c r="K160" s="342"/>
      <c r="L160" s="342"/>
    </row>
    <row r="161" spans="1:8" s="125" customFormat="1" ht="15" customHeight="1">
      <c r="A161" s="119"/>
      <c r="B161" s="97"/>
      <c r="C161" s="102"/>
      <c r="D161" s="97"/>
      <c r="E161" s="102"/>
      <c r="F161" s="102"/>
      <c r="G161" s="102"/>
      <c r="H161" s="102"/>
    </row>
    <row r="162" spans="1:8" s="125" customFormat="1" ht="15" customHeight="1">
      <c r="A162" s="119"/>
      <c r="B162" s="97"/>
      <c r="C162" s="102"/>
      <c r="D162" s="97"/>
      <c r="E162" s="102"/>
      <c r="F162" s="102"/>
      <c r="G162" s="102"/>
      <c r="H162" s="102"/>
    </row>
    <row r="163" spans="1:8" s="125" customFormat="1" ht="15" customHeight="1">
      <c r="A163" s="119"/>
      <c r="B163" s="97"/>
      <c r="C163" s="102"/>
      <c r="D163" s="97"/>
      <c r="E163" s="102"/>
      <c r="F163" s="102"/>
      <c r="G163" s="102"/>
      <c r="H163" s="102"/>
    </row>
    <row r="164" spans="1:8" s="125" customFormat="1" ht="15" customHeight="1">
      <c r="A164" s="119"/>
      <c r="B164" s="97"/>
      <c r="C164" s="102"/>
      <c r="D164" s="97"/>
      <c r="E164" s="102"/>
      <c r="F164" s="102"/>
      <c r="G164" s="102"/>
      <c r="H164" s="102"/>
    </row>
    <row r="165" spans="1:8" s="125" customFormat="1" ht="15" customHeight="1">
      <c r="A165" s="119"/>
      <c r="B165" s="97"/>
      <c r="C165" s="102"/>
      <c r="D165" s="97"/>
      <c r="E165" s="102"/>
      <c r="F165" s="102"/>
      <c r="G165" s="102"/>
      <c r="H165" s="102"/>
    </row>
    <row r="166" spans="1:8" s="125" customFormat="1" ht="15" customHeight="1">
      <c r="A166" s="119"/>
      <c r="B166" s="97"/>
      <c r="C166" s="102"/>
      <c r="D166" s="97"/>
      <c r="E166" s="102"/>
      <c r="F166" s="102"/>
      <c r="G166" s="102"/>
      <c r="H166" s="102"/>
    </row>
    <row r="167" spans="1:8" s="125" customFormat="1" ht="15" customHeight="1">
      <c r="A167" s="119"/>
      <c r="B167" s="97"/>
      <c r="C167" s="102"/>
      <c r="D167" s="97"/>
      <c r="E167" s="102"/>
      <c r="F167" s="102"/>
      <c r="G167" s="102"/>
      <c r="H167" s="102"/>
    </row>
    <row r="168" spans="1:8" s="125" customFormat="1" ht="15" customHeight="1">
      <c r="A168" s="119"/>
      <c r="B168" s="97"/>
      <c r="C168" s="102"/>
      <c r="D168" s="97"/>
      <c r="E168" s="102"/>
      <c r="F168" s="102"/>
      <c r="G168" s="102"/>
      <c r="H168" s="102"/>
    </row>
    <row r="169" spans="1:8" s="125" customFormat="1" ht="15" customHeight="1">
      <c r="A169" s="119"/>
      <c r="B169" s="97"/>
      <c r="C169" s="102"/>
      <c r="D169" s="97"/>
      <c r="E169" s="102"/>
      <c r="F169" s="102"/>
      <c r="G169" s="102"/>
      <c r="H169" s="102"/>
    </row>
    <row r="170" spans="1:8" s="125" customFormat="1" ht="15" customHeight="1">
      <c r="A170" s="119"/>
      <c r="B170" s="97"/>
      <c r="C170" s="102"/>
      <c r="D170" s="97"/>
      <c r="E170" s="102"/>
      <c r="F170" s="102"/>
      <c r="G170" s="102"/>
      <c r="H170" s="102"/>
    </row>
    <row r="171" spans="1:8" s="125" customFormat="1" ht="15" customHeight="1">
      <c r="A171" s="119"/>
      <c r="B171" s="97"/>
      <c r="C171" s="102"/>
      <c r="D171" s="97"/>
      <c r="E171" s="102"/>
      <c r="F171" s="102"/>
      <c r="G171" s="102"/>
      <c r="H171" s="102"/>
    </row>
    <row r="172" spans="1:8" s="125" customFormat="1" ht="15" customHeight="1">
      <c r="A172" s="119"/>
      <c r="B172" s="97"/>
      <c r="C172" s="102"/>
      <c r="D172" s="97"/>
      <c r="E172" s="102"/>
      <c r="F172" s="102"/>
      <c r="G172" s="102"/>
      <c r="H172" s="102"/>
    </row>
    <row r="173" spans="1:8" s="125" customFormat="1" ht="15" customHeight="1">
      <c r="A173" s="119"/>
      <c r="B173" s="97"/>
      <c r="C173" s="102"/>
      <c r="D173" s="97"/>
      <c r="E173" s="102"/>
      <c r="F173" s="102"/>
      <c r="G173" s="102"/>
      <c r="H173" s="102"/>
    </row>
    <row r="174" spans="1:8" s="125" customFormat="1" ht="15" customHeight="1">
      <c r="A174" s="119"/>
      <c r="B174" s="97"/>
      <c r="C174" s="102"/>
      <c r="D174" s="97"/>
      <c r="E174" s="102"/>
      <c r="F174" s="102"/>
      <c r="G174" s="102"/>
      <c r="H174" s="102"/>
    </row>
    <row r="175" spans="1:8" s="8" customFormat="1" ht="34.5" customHeight="1">
      <c r="A175" s="126"/>
      <c r="B175" s="20" t="s">
        <v>195</v>
      </c>
      <c r="C175" s="120"/>
      <c r="D175" s="20" t="s">
        <v>195</v>
      </c>
      <c r="E175" s="120"/>
      <c r="F175" s="120"/>
      <c r="G175" s="120"/>
      <c r="H175" s="120"/>
    </row>
    <row r="176" spans="1:8" s="125" customFormat="1" ht="12.75">
      <c r="A176" s="119"/>
      <c r="B176" s="102"/>
      <c r="C176" s="102"/>
      <c r="D176" s="102"/>
      <c r="E176" s="102"/>
      <c r="F176" s="102"/>
      <c r="G176" s="102"/>
      <c r="H176" s="102"/>
    </row>
  </sheetData>
  <sheetProtection sheet="1" objects="1" scenarios="1"/>
  <mergeCells count="9">
    <mergeCell ref="B119:D119"/>
    <mergeCell ref="G141:L141"/>
    <mergeCell ref="G160:L160"/>
    <mergeCell ref="B2:D2"/>
    <mergeCell ref="G25:L25"/>
    <mergeCell ref="G43:L43"/>
    <mergeCell ref="G62:L62"/>
    <mergeCell ref="G81:L81"/>
    <mergeCell ref="G100:L100"/>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AE41"/>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18" sqref="A18"/>
    </sheetView>
  </sheetViews>
  <sheetFormatPr defaultColWidth="11.7109375" defaultRowHeight="12.75" outlineLevelCol="1"/>
  <cols>
    <col min="1" max="1" width="42.8515625" style="132"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s>
  <sheetData>
    <row r="1" spans="1:31" ht="15.75" customHeight="1">
      <c r="A1" s="141" t="str">
        <f>"FLUJO DE CAJA ("&amp;Introducción!E17&amp;")"</f>
        <v>FLUJO DE CAJA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44"/>
    </row>
    <row r="2" spans="1:31" ht="12.75">
      <c r="A2" s="178"/>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s="19" customFormat="1" ht="17.25">
      <c r="A3" s="174" t="s">
        <v>18</v>
      </c>
      <c r="B3" s="174">
        <f>'Valores de Inicio'!B6</f>
        <v>3500</v>
      </c>
      <c r="C3" s="174">
        <f aca="true" t="shared" si="2" ref="C3:M3">B36</f>
        <v>8625.652777777777</v>
      </c>
      <c r="D3" s="174">
        <f t="shared" si="2"/>
        <v>9251.305555555555</v>
      </c>
      <c r="E3" s="174">
        <f t="shared" si="2"/>
        <v>9876.958333333332</v>
      </c>
      <c r="F3" s="174">
        <f t="shared" si="2"/>
        <v>10502.61111111111</v>
      </c>
      <c r="G3" s="174">
        <f t="shared" si="2"/>
        <v>11128.263888888887</v>
      </c>
      <c r="H3" s="174">
        <f t="shared" si="2"/>
        <v>11753.916666666664</v>
      </c>
      <c r="I3" s="174">
        <f t="shared" si="2"/>
        <v>12379.569444444442</v>
      </c>
      <c r="J3" s="174">
        <f t="shared" si="2"/>
        <v>13005.222222222219</v>
      </c>
      <c r="K3" s="174">
        <f t="shared" si="2"/>
        <v>13630.874999999996</v>
      </c>
      <c r="L3" s="174">
        <f t="shared" si="2"/>
        <v>14256.527777777774</v>
      </c>
      <c r="M3" s="174">
        <f t="shared" si="2"/>
        <v>14882.180555555551</v>
      </c>
      <c r="N3" s="174">
        <f>B3</f>
        <v>3500</v>
      </c>
      <c r="O3" s="174">
        <f aca="true" t="shared" si="3" ref="O3:Z3">N36</f>
        <v>13507.833333333336</v>
      </c>
      <c r="P3" s="174">
        <f t="shared" si="3"/>
        <v>12885.062500000004</v>
      </c>
      <c r="Q3" s="174">
        <f t="shared" si="3"/>
        <v>14262.29166666667</v>
      </c>
      <c r="R3" s="174">
        <f t="shared" si="3"/>
        <v>15639.520833333336</v>
      </c>
      <c r="S3" s="174">
        <f t="shared" si="3"/>
        <v>17016.750000000004</v>
      </c>
      <c r="T3" s="174">
        <f t="shared" si="3"/>
        <v>18393.97916666667</v>
      </c>
      <c r="U3" s="174">
        <f t="shared" si="3"/>
        <v>19771.20833333334</v>
      </c>
      <c r="V3" s="174">
        <f t="shared" si="3"/>
        <v>21148.437500000007</v>
      </c>
      <c r="W3" s="174">
        <f t="shared" si="3"/>
        <v>22525.666666666675</v>
      </c>
      <c r="X3" s="174">
        <f t="shared" si="3"/>
        <v>23902.895833333343</v>
      </c>
      <c r="Y3" s="174">
        <f t="shared" si="3"/>
        <v>25280.12500000001</v>
      </c>
      <c r="Z3" s="174">
        <f t="shared" si="3"/>
        <v>26657.35416666668</v>
      </c>
      <c r="AA3" s="174">
        <f>O3</f>
        <v>13507.833333333336</v>
      </c>
      <c r="AB3" s="174">
        <f>AA36</f>
        <v>25034.58333333334</v>
      </c>
      <c r="AC3" s="174">
        <f>AB36</f>
        <v>33047.33333333334</v>
      </c>
      <c r="AD3" s="174">
        <f>AC36</f>
        <v>46650.883333333346</v>
      </c>
      <c r="AE3" s="175"/>
    </row>
    <row r="4" spans="1:31" ht="12.75">
      <c r="A4" s="178"/>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ht="15">
      <c r="A5" s="264" t="s">
        <v>46</v>
      </c>
      <c r="B5" s="265">
        <f>Ingresos!B7</f>
        <v>14000</v>
      </c>
      <c r="C5" s="265">
        <f>Ingresos!C7</f>
        <v>14000</v>
      </c>
      <c r="D5" s="265">
        <f>Ingresos!D7</f>
        <v>14000</v>
      </c>
      <c r="E5" s="265">
        <f>Ingresos!E7</f>
        <v>14000</v>
      </c>
      <c r="F5" s="265">
        <f>Ingresos!F7</f>
        <v>14000</v>
      </c>
      <c r="G5" s="265">
        <f>Ingresos!G7</f>
        <v>14000</v>
      </c>
      <c r="H5" s="265">
        <f>Ingresos!H7</f>
        <v>14000</v>
      </c>
      <c r="I5" s="265">
        <f>Ingresos!I7</f>
        <v>14000</v>
      </c>
      <c r="J5" s="265">
        <f>Ingresos!J7</f>
        <v>14000</v>
      </c>
      <c r="K5" s="265">
        <f>Ingresos!K7</f>
        <v>14000</v>
      </c>
      <c r="L5" s="265">
        <f>Ingresos!L7</f>
        <v>14000</v>
      </c>
      <c r="M5" s="265">
        <f>Ingresos!M7</f>
        <v>14000</v>
      </c>
      <c r="N5" s="265">
        <f>Ingresos!N7</f>
        <v>168000</v>
      </c>
      <c r="O5" s="265">
        <f>Ingresos!O7</f>
        <v>18750</v>
      </c>
      <c r="P5" s="265">
        <f>Ingresos!P7</f>
        <v>18750</v>
      </c>
      <c r="Q5" s="265">
        <f>Ingresos!Q7</f>
        <v>18750</v>
      </c>
      <c r="R5" s="265">
        <f>Ingresos!R7</f>
        <v>18750</v>
      </c>
      <c r="S5" s="265">
        <f>Ingresos!S7</f>
        <v>18750</v>
      </c>
      <c r="T5" s="265">
        <f>Ingresos!T7</f>
        <v>18750</v>
      </c>
      <c r="U5" s="265">
        <f>Ingresos!U7</f>
        <v>18750</v>
      </c>
      <c r="V5" s="265">
        <f>Ingresos!V7</f>
        <v>18750</v>
      </c>
      <c r="W5" s="265">
        <f>Ingresos!W7</f>
        <v>18750</v>
      </c>
      <c r="X5" s="265">
        <f>Ingresos!X7</f>
        <v>18750</v>
      </c>
      <c r="Y5" s="265">
        <f>Ingresos!Y7</f>
        <v>18750</v>
      </c>
      <c r="Z5" s="265">
        <f>Ingresos!Z7</f>
        <v>18750</v>
      </c>
      <c r="AA5" s="265">
        <f>Ingresos!AA7</f>
        <v>225000</v>
      </c>
      <c r="AB5" s="265">
        <f>Ingresos!AB7</f>
        <v>248220</v>
      </c>
      <c r="AC5" s="265">
        <f>Ingresos!AC7</f>
        <v>289450</v>
      </c>
      <c r="AD5" s="265">
        <f>Ingresos!AD7</f>
        <v>364560</v>
      </c>
      <c r="AE5" s="145"/>
    </row>
    <row r="6" spans="1:31" ht="15">
      <c r="A6" s="264" t="s">
        <v>188</v>
      </c>
      <c r="B6" s="265">
        <f>-'Costo de Ventas'!B11</f>
        <v>-10000</v>
      </c>
      <c r="C6" s="265">
        <f>-'Costo de Ventas'!C11</f>
        <v>-10000</v>
      </c>
      <c r="D6" s="265">
        <f>-'Costo de Ventas'!D11</f>
        <v>-10000</v>
      </c>
      <c r="E6" s="265">
        <f>-'Costo de Ventas'!E11</f>
        <v>-10000</v>
      </c>
      <c r="F6" s="265">
        <f>-'Costo de Ventas'!F11</f>
        <v>-10000</v>
      </c>
      <c r="G6" s="265">
        <f>-'Costo de Ventas'!G11</f>
        <v>-10000</v>
      </c>
      <c r="H6" s="265">
        <f>-'Costo de Ventas'!H11</f>
        <v>-10000</v>
      </c>
      <c r="I6" s="265">
        <f>-'Costo de Ventas'!I11</f>
        <v>-10000</v>
      </c>
      <c r="J6" s="265">
        <f>-'Costo de Ventas'!J11</f>
        <v>-10000</v>
      </c>
      <c r="K6" s="265">
        <f>-'Costo de Ventas'!K11</f>
        <v>-10000</v>
      </c>
      <c r="L6" s="265">
        <f>-'Costo de Ventas'!L11</f>
        <v>-10000</v>
      </c>
      <c r="M6" s="265">
        <f>-'Costo de Ventas'!M11</f>
        <v>-10000</v>
      </c>
      <c r="N6" s="265">
        <f>-'Costo de Ventas'!N11</f>
        <v>-120000</v>
      </c>
      <c r="O6" s="265">
        <f>-'Costo de Ventas'!O11</f>
        <v>-13500</v>
      </c>
      <c r="P6" s="265">
        <f>-'Costo de Ventas'!P11</f>
        <v>-13500</v>
      </c>
      <c r="Q6" s="265">
        <f>-'Costo de Ventas'!Q11</f>
        <v>-13500</v>
      </c>
      <c r="R6" s="265">
        <f>-'Costo de Ventas'!R11</f>
        <v>-13500</v>
      </c>
      <c r="S6" s="265">
        <f>-'Costo de Ventas'!S11</f>
        <v>-13500</v>
      </c>
      <c r="T6" s="265">
        <f>-'Costo de Ventas'!T11</f>
        <v>-13500</v>
      </c>
      <c r="U6" s="265">
        <f>-'Costo de Ventas'!U11</f>
        <v>-13500</v>
      </c>
      <c r="V6" s="265">
        <f>-'Costo de Ventas'!V11</f>
        <v>-13500</v>
      </c>
      <c r="W6" s="265">
        <f>-'Costo de Ventas'!W11</f>
        <v>-13500</v>
      </c>
      <c r="X6" s="265">
        <f>-'Costo de Ventas'!X11</f>
        <v>-13500</v>
      </c>
      <c r="Y6" s="265">
        <f>-'Costo de Ventas'!Y11</f>
        <v>-13500</v>
      </c>
      <c r="Z6" s="265">
        <f>-'Costo de Ventas'!Z11</f>
        <v>-13500</v>
      </c>
      <c r="AA6" s="265">
        <f>-'Costo de Ventas'!AA11</f>
        <v>-162000</v>
      </c>
      <c r="AB6" s="265">
        <f>-'Costo de Ventas'!AB11</f>
        <v>-178290</v>
      </c>
      <c r="AC6" s="265">
        <f>-'Costo de Ventas'!AC11</f>
        <v>-207200</v>
      </c>
      <c r="AD6" s="265">
        <f>-'Costo de Ventas'!AD11</f>
        <v>-259979.99999999997</v>
      </c>
      <c r="AE6" s="145"/>
    </row>
    <row r="7" spans="1:31" ht="15">
      <c r="A7" s="264" t="s">
        <v>154</v>
      </c>
      <c r="B7" s="265">
        <f>-Salarios!B22</f>
        <v>-2500</v>
      </c>
      <c r="C7" s="265">
        <f>-Salarios!C22</f>
        <v>-2500</v>
      </c>
      <c r="D7" s="265">
        <f>-Salarios!D22</f>
        <v>-2500</v>
      </c>
      <c r="E7" s="265">
        <f>-Salarios!E22</f>
        <v>-2500</v>
      </c>
      <c r="F7" s="265">
        <f>-Salarios!F22</f>
        <v>-2500</v>
      </c>
      <c r="G7" s="265">
        <f>-Salarios!G22</f>
        <v>-2500</v>
      </c>
      <c r="H7" s="265">
        <f>-Salarios!H22</f>
        <v>-2500</v>
      </c>
      <c r="I7" s="265">
        <f>-Salarios!I22</f>
        <v>-2500</v>
      </c>
      <c r="J7" s="265">
        <f>-Salarios!J22</f>
        <v>-2500</v>
      </c>
      <c r="K7" s="265">
        <f>-Salarios!K22</f>
        <v>-2500</v>
      </c>
      <c r="L7" s="265">
        <f>-Salarios!L22</f>
        <v>-2500</v>
      </c>
      <c r="M7" s="265">
        <f>-Salarios!M22</f>
        <v>-2500</v>
      </c>
      <c r="N7" s="265">
        <f>-Salarios!N22</f>
        <v>-30000</v>
      </c>
      <c r="O7" s="265">
        <f>-Salarios!O22</f>
        <v>-2550</v>
      </c>
      <c r="P7" s="265">
        <f>-Salarios!P22</f>
        <v>-2550</v>
      </c>
      <c r="Q7" s="265">
        <f>-Salarios!Q22</f>
        <v>-2550</v>
      </c>
      <c r="R7" s="265">
        <f>-Salarios!R22</f>
        <v>-2550</v>
      </c>
      <c r="S7" s="265">
        <f>-Salarios!S22</f>
        <v>-2550</v>
      </c>
      <c r="T7" s="265">
        <f>-Salarios!T22</f>
        <v>-2550</v>
      </c>
      <c r="U7" s="265">
        <f>-Salarios!U22</f>
        <v>-2550</v>
      </c>
      <c r="V7" s="265">
        <f>-Salarios!V22</f>
        <v>-2550</v>
      </c>
      <c r="W7" s="265">
        <f>-Salarios!W22</f>
        <v>-2550</v>
      </c>
      <c r="X7" s="265">
        <f>-Salarios!X22</f>
        <v>-2550</v>
      </c>
      <c r="Y7" s="265">
        <f>-Salarios!Y22</f>
        <v>-2550</v>
      </c>
      <c r="Z7" s="265">
        <f>-Salarios!Z22</f>
        <v>-2550</v>
      </c>
      <c r="AA7" s="265">
        <f>-Salarios!AA22</f>
        <v>-30600</v>
      </c>
      <c r="AB7" s="265">
        <f>-Salarios!AB22</f>
        <v>-32130</v>
      </c>
      <c r="AC7" s="265">
        <f>-Salarios!AC22</f>
        <v>-42998</v>
      </c>
      <c r="AD7" s="265">
        <f>-Salarios!AD22</f>
        <v>-54872</v>
      </c>
      <c r="AE7" s="145"/>
    </row>
    <row r="8" spans="1:31" ht="15">
      <c r="A8" s="264" t="s">
        <v>164</v>
      </c>
      <c r="B8" s="265">
        <f>-'Gastos Fijos'!B10</f>
        <v>-750</v>
      </c>
      <c r="C8" s="265">
        <f>-'Gastos Fijos'!C10</f>
        <v>-750</v>
      </c>
      <c r="D8" s="265">
        <f>-'Gastos Fijos'!D10</f>
        <v>-750</v>
      </c>
      <c r="E8" s="265">
        <f>-'Gastos Fijos'!E10</f>
        <v>-750</v>
      </c>
      <c r="F8" s="265">
        <f>-'Gastos Fijos'!F10</f>
        <v>-750</v>
      </c>
      <c r="G8" s="265">
        <f>-'Gastos Fijos'!G10</f>
        <v>-750</v>
      </c>
      <c r="H8" s="265">
        <f>-'Gastos Fijos'!H10</f>
        <v>-750</v>
      </c>
      <c r="I8" s="265">
        <f>-'Gastos Fijos'!I10</f>
        <v>-750</v>
      </c>
      <c r="J8" s="265">
        <f>-'Gastos Fijos'!J10</f>
        <v>-750</v>
      </c>
      <c r="K8" s="265">
        <f>-'Gastos Fijos'!K10</f>
        <v>-750</v>
      </c>
      <c r="L8" s="265">
        <f>-'Gastos Fijos'!L10</f>
        <v>-750</v>
      </c>
      <c r="M8" s="265">
        <f>-'Gastos Fijos'!M10</f>
        <v>-750</v>
      </c>
      <c r="N8" s="265">
        <f>-'Gastos Fijos'!N10</f>
        <v>-9000</v>
      </c>
      <c r="O8" s="265">
        <f>-'Gastos Fijos'!O10</f>
        <v>-800</v>
      </c>
      <c r="P8" s="265">
        <f>-'Gastos Fijos'!P10</f>
        <v>-800</v>
      </c>
      <c r="Q8" s="265">
        <f>-'Gastos Fijos'!Q10</f>
        <v>-800</v>
      </c>
      <c r="R8" s="265">
        <f>-'Gastos Fijos'!R10</f>
        <v>-800</v>
      </c>
      <c r="S8" s="265">
        <f>-'Gastos Fijos'!S10</f>
        <v>-800</v>
      </c>
      <c r="T8" s="265">
        <f>-'Gastos Fijos'!T10</f>
        <v>-800</v>
      </c>
      <c r="U8" s="265">
        <f>-'Gastos Fijos'!U10</f>
        <v>-800</v>
      </c>
      <c r="V8" s="265">
        <f>-'Gastos Fijos'!V10</f>
        <v>-800</v>
      </c>
      <c r="W8" s="265">
        <f>-'Gastos Fijos'!W10</f>
        <v>-800</v>
      </c>
      <c r="X8" s="265">
        <f>-'Gastos Fijos'!X10</f>
        <v>-800</v>
      </c>
      <c r="Y8" s="265">
        <f>-'Gastos Fijos'!Y10</f>
        <v>-800</v>
      </c>
      <c r="Z8" s="265">
        <f>-'Gastos Fijos'!Z10</f>
        <v>-800</v>
      </c>
      <c r="AA8" s="265">
        <f>-'Gastos Fijos'!AA10</f>
        <v>-9600</v>
      </c>
      <c r="AB8" s="265">
        <f>-'Gastos Fijos'!AB10</f>
        <v>-10170</v>
      </c>
      <c r="AC8" s="265">
        <f>-'Gastos Fijos'!AC10</f>
        <v>-10778</v>
      </c>
      <c r="AD8" s="265">
        <f>-'Gastos Fijos'!AD10</f>
        <v>-11426</v>
      </c>
      <c r="AE8" s="145"/>
    </row>
    <row r="9" spans="1:31" ht="15">
      <c r="A9" s="264" t="s">
        <v>56</v>
      </c>
      <c r="B9" s="265">
        <f>-Impuestos!B20</f>
        <v>-124.34722222222223</v>
      </c>
      <c r="C9" s="265">
        <f>-Impuestos!C20</f>
        <v>-124.34722222222223</v>
      </c>
      <c r="D9" s="265">
        <f>-Impuestos!D20</f>
        <v>-124.34722222222223</v>
      </c>
      <c r="E9" s="265">
        <f>-Impuestos!E20</f>
        <v>-124.34722222222223</v>
      </c>
      <c r="F9" s="265">
        <f>-Impuestos!F20</f>
        <v>-124.34722222222223</v>
      </c>
      <c r="G9" s="265">
        <f>-Impuestos!G20</f>
        <v>-124.34722222222223</v>
      </c>
      <c r="H9" s="265">
        <f>-Impuestos!H20</f>
        <v>-124.34722222222223</v>
      </c>
      <c r="I9" s="265">
        <f>-Impuestos!I20</f>
        <v>-124.34722222222223</v>
      </c>
      <c r="J9" s="265">
        <f>-Impuestos!J20</f>
        <v>-124.34722222222223</v>
      </c>
      <c r="K9" s="265">
        <f>-Impuestos!K20</f>
        <v>-124.34722222222223</v>
      </c>
      <c r="L9" s="265">
        <f>-Impuestos!L20</f>
        <v>-124.34722222222223</v>
      </c>
      <c r="M9" s="265">
        <f>-Impuestos!M20</f>
        <v>-124.34722222222223</v>
      </c>
      <c r="N9" s="265">
        <f>-Impuestos!N20</f>
        <v>-1492.1666666666663</v>
      </c>
      <c r="O9" s="265">
        <f>-Impuestos!O20</f>
        <v>-522.7708333333333</v>
      </c>
      <c r="P9" s="265">
        <f>-Impuestos!P20</f>
        <v>-522.7708333333333</v>
      </c>
      <c r="Q9" s="265">
        <f>-Impuestos!Q20</f>
        <v>-522.7708333333333</v>
      </c>
      <c r="R9" s="265">
        <f>-Impuestos!R20</f>
        <v>-522.7708333333333</v>
      </c>
      <c r="S9" s="265">
        <f>-Impuestos!S20</f>
        <v>-522.7708333333333</v>
      </c>
      <c r="T9" s="265">
        <f>-Impuestos!T20</f>
        <v>-522.7708333333333</v>
      </c>
      <c r="U9" s="265">
        <f>-Impuestos!U20</f>
        <v>-522.7708333333333</v>
      </c>
      <c r="V9" s="265">
        <f>-Impuestos!V20</f>
        <v>-522.7708333333333</v>
      </c>
      <c r="W9" s="265">
        <f>-Impuestos!W20</f>
        <v>-522.7708333333333</v>
      </c>
      <c r="X9" s="265">
        <f>-Impuestos!X20</f>
        <v>-522.7708333333333</v>
      </c>
      <c r="Y9" s="265">
        <f>-Impuestos!Y20</f>
        <v>-522.7708333333333</v>
      </c>
      <c r="Z9" s="265">
        <f>-Impuestos!Z20</f>
        <v>-522.7708333333333</v>
      </c>
      <c r="AA9" s="265">
        <f>-Impuestos!AA20</f>
        <v>-6273.249999999997</v>
      </c>
      <c r="AB9" s="265">
        <f>-Impuestos!AB20</f>
        <v>-7617.249999999999</v>
      </c>
      <c r="AC9" s="265">
        <f>-Impuestos!AC20</f>
        <v>-7870.449999999999</v>
      </c>
      <c r="AD9" s="265">
        <f>-Impuestos!AD20</f>
        <v>-10812.85000000001</v>
      </c>
      <c r="AE9" s="145"/>
    </row>
    <row r="10" spans="1:31" ht="15">
      <c r="A10" s="264" t="s">
        <v>108</v>
      </c>
      <c r="B10" s="265">
        <f>Extraordinarios!B3</f>
        <v>0</v>
      </c>
      <c r="C10" s="265">
        <f>Extraordinarios!C3</f>
        <v>0</v>
      </c>
      <c r="D10" s="265">
        <f>Extraordinarios!D3</f>
        <v>0</v>
      </c>
      <c r="E10" s="265">
        <f>Extraordinarios!E3</f>
        <v>0</v>
      </c>
      <c r="F10" s="265">
        <f>Extraordinarios!F3</f>
        <v>0</v>
      </c>
      <c r="G10" s="265">
        <f>Extraordinarios!G3</f>
        <v>0</v>
      </c>
      <c r="H10" s="265">
        <f>Extraordinarios!H3</f>
        <v>0</v>
      </c>
      <c r="I10" s="265">
        <f>Extraordinarios!I3</f>
        <v>0</v>
      </c>
      <c r="J10" s="265">
        <f>Extraordinarios!J3</f>
        <v>0</v>
      </c>
      <c r="K10" s="265">
        <f>Extraordinarios!K3</f>
        <v>0</v>
      </c>
      <c r="L10" s="265">
        <f>Extraordinarios!L3</f>
        <v>0</v>
      </c>
      <c r="M10" s="265">
        <f>Extraordinarios!M3</f>
        <v>0</v>
      </c>
      <c r="N10" s="265">
        <f>Extraordinarios!N3</f>
        <v>0</v>
      </c>
      <c r="O10" s="265">
        <f>Extraordinarios!O3</f>
        <v>0</v>
      </c>
      <c r="P10" s="265">
        <f>Extraordinarios!P3</f>
        <v>0</v>
      </c>
      <c r="Q10" s="265">
        <f>Extraordinarios!Q3</f>
        <v>0</v>
      </c>
      <c r="R10" s="265">
        <f>Extraordinarios!R3</f>
        <v>0</v>
      </c>
      <c r="S10" s="265">
        <f>Extraordinarios!S3</f>
        <v>0</v>
      </c>
      <c r="T10" s="265">
        <f>Extraordinarios!T3</f>
        <v>0</v>
      </c>
      <c r="U10" s="265">
        <f>Extraordinarios!U3</f>
        <v>0</v>
      </c>
      <c r="V10" s="265">
        <f>Extraordinarios!V3</f>
        <v>0</v>
      </c>
      <c r="W10" s="265">
        <f>Extraordinarios!W3</f>
        <v>0</v>
      </c>
      <c r="X10" s="265">
        <f>Extraordinarios!X3</f>
        <v>0</v>
      </c>
      <c r="Y10" s="265">
        <f>Extraordinarios!Y3</f>
        <v>0</v>
      </c>
      <c r="Z10" s="265">
        <f>Extraordinarios!Z3</f>
        <v>0</v>
      </c>
      <c r="AA10" s="265">
        <f>Extraordinarios!AA3</f>
        <v>0</v>
      </c>
      <c r="AB10" s="265">
        <f>Extraordinarios!AB3</f>
        <v>0</v>
      </c>
      <c r="AC10" s="265">
        <f>Extraordinarios!AC3</f>
        <v>0</v>
      </c>
      <c r="AD10" s="265">
        <f>Extraordinarios!AD3</f>
        <v>0</v>
      </c>
      <c r="AE10" s="145"/>
    </row>
    <row r="11" spans="1:31" s="14" customFormat="1" ht="15">
      <c r="A11" s="266" t="s">
        <v>123</v>
      </c>
      <c r="B11" s="267">
        <f aca="true" t="shared" si="4" ref="B11:AD11">SUM(B5:B10)</f>
        <v>625.6527777777778</v>
      </c>
      <c r="C11" s="267">
        <f t="shared" si="4"/>
        <v>625.6527777777778</v>
      </c>
      <c r="D11" s="267">
        <f t="shared" si="4"/>
        <v>625.6527777777778</v>
      </c>
      <c r="E11" s="267">
        <f t="shared" si="4"/>
        <v>625.6527777777778</v>
      </c>
      <c r="F11" s="267">
        <f t="shared" si="4"/>
        <v>625.6527777777778</v>
      </c>
      <c r="G11" s="267">
        <f t="shared" si="4"/>
        <v>625.6527777777778</v>
      </c>
      <c r="H11" s="267">
        <f t="shared" si="4"/>
        <v>625.6527777777778</v>
      </c>
      <c r="I11" s="267">
        <f t="shared" si="4"/>
        <v>625.6527777777778</v>
      </c>
      <c r="J11" s="267">
        <f t="shared" si="4"/>
        <v>625.6527777777778</v>
      </c>
      <c r="K11" s="267">
        <f t="shared" si="4"/>
        <v>625.6527777777778</v>
      </c>
      <c r="L11" s="267">
        <f t="shared" si="4"/>
        <v>625.6527777777778</v>
      </c>
      <c r="M11" s="267">
        <f t="shared" si="4"/>
        <v>625.6527777777778</v>
      </c>
      <c r="N11" s="267">
        <f t="shared" si="4"/>
        <v>7507.833333333334</v>
      </c>
      <c r="O11" s="267">
        <f t="shared" si="4"/>
        <v>1377.2291666666667</v>
      </c>
      <c r="P11" s="267">
        <f t="shared" si="4"/>
        <v>1377.2291666666667</v>
      </c>
      <c r="Q11" s="267">
        <f t="shared" si="4"/>
        <v>1377.2291666666667</v>
      </c>
      <c r="R11" s="267">
        <f t="shared" si="4"/>
        <v>1377.2291666666667</v>
      </c>
      <c r="S11" s="267">
        <f t="shared" si="4"/>
        <v>1377.2291666666667</v>
      </c>
      <c r="T11" s="267">
        <f t="shared" si="4"/>
        <v>1377.2291666666667</v>
      </c>
      <c r="U11" s="267">
        <f t="shared" si="4"/>
        <v>1377.2291666666667</v>
      </c>
      <c r="V11" s="267">
        <f t="shared" si="4"/>
        <v>1377.2291666666667</v>
      </c>
      <c r="W11" s="267">
        <f t="shared" si="4"/>
        <v>1377.2291666666667</v>
      </c>
      <c r="X11" s="267">
        <f t="shared" si="4"/>
        <v>1377.2291666666667</v>
      </c>
      <c r="Y11" s="267">
        <f t="shared" si="4"/>
        <v>1377.2291666666667</v>
      </c>
      <c r="Z11" s="267">
        <f t="shared" si="4"/>
        <v>1377.2291666666667</v>
      </c>
      <c r="AA11" s="267">
        <f t="shared" si="4"/>
        <v>16526.750000000004</v>
      </c>
      <c r="AB11" s="267">
        <f t="shared" si="4"/>
        <v>20012.75</v>
      </c>
      <c r="AC11" s="267">
        <f t="shared" si="4"/>
        <v>20603.550000000003</v>
      </c>
      <c r="AD11" s="267">
        <f t="shared" si="4"/>
        <v>27469.15000000002</v>
      </c>
      <c r="AE11" s="179"/>
    </row>
    <row r="12" spans="1:31" ht="15">
      <c r="A12" s="268"/>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145"/>
    </row>
    <row r="13" spans="1:31" ht="15" hidden="1">
      <c r="A13" s="264" t="s">
        <v>7</v>
      </c>
      <c r="B13" s="265">
        <f>-'Cobranzas y pagos'!B9+'Valores de Inicio'!B37</f>
        <v>0</v>
      </c>
      <c r="C13" s="265">
        <f>-'Cobranzas y pagos'!C9+'Cobranzas y pagos'!B9+'Valores de Inicio'!C37</f>
        <v>0</v>
      </c>
      <c r="D13" s="265">
        <f>-'Cobranzas y pagos'!D9+'Cobranzas y pagos'!C9+'Valores de Inicio'!D37</f>
        <v>0</v>
      </c>
      <c r="E13" s="265">
        <f>-'Cobranzas y pagos'!E9+'Cobranzas y pagos'!D9+'Valores de Inicio'!E37</f>
        <v>0</v>
      </c>
      <c r="F13" s="265">
        <f>-'Cobranzas y pagos'!F9+'Cobranzas y pagos'!E9+'Valores de Inicio'!F37</f>
        <v>0</v>
      </c>
      <c r="G13" s="265">
        <f>-'Cobranzas y pagos'!G9+'Cobranzas y pagos'!F9+'Valores de Inicio'!G37</f>
        <v>0</v>
      </c>
      <c r="H13" s="265">
        <f>-'Cobranzas y pagos'!H9+'Cobranzas y pagos'!G9+'Valores de Inicio'!H37</f>
        <v>0</v>
      </c>
      <c r="I13" s="265">
        <f>-'Cobranzas y pagos'!I9+'Cobranzas y pagos'!H9+'Valores de Inicio'!I37</f>
        <v>0</v>
      </c>
      <c r="J13" s="265">
        <f>-'Cobranzas y pagos'!J9+'Cobranzas y pagos'!I9+'Valores de Inicio'!J37</f>
        <v>0</v>
      </c>
      <c r="K13" s="265">
        <f>-'Cobranzas y pagos'!K9+'Cobranzas y pagos'!J9+'Valores de Inicio'!K37</f>
        <v>0</v>
      </c>
      <c r="L13" s="265">
        <f>-'Cobranzas y pagos'!L9+'Cobranzas y pagos'!K9+'Valores de Inicio'!L37</f>
        <v>0</v>
      </c>
      <c r="M13" s="265">
        <f>-'Cobranzas y pagos'!M9+'Cobranzas y pagos'!L9+'Valores de Inicio'!M37</f>
        <v>0</v>
      </c>
      <c r="N13" s="265">
        <f>SUM(B13:M13)</f>
        <v>0</v>
      </c>
      <c r="O13" s="265">
        <f>-'Cobranzas y pagos'!O9+'Cobranzas y pagos'!N9+'Valores de Inicio'!O37</f>
        <v>0</v>
      </c>
      <c r="P13" s="265">
        <f>-'Cobranzas y pagos'!P9+'Cobranzas y pagos'!O9+'Valores de Inicio'!P37</f>
        <v>0</v>
      </c>
      <c r="Q13" s="265">
        <f>-'Cobranzas y pagos'!Q9+'Cobranzas y pagos'!P9+'Valores de Inicio'!Q37</f>
        <v>0</v>
      </c>
      <c r="R13" s="265">
        <f>-'Cobranzas y pagos'!R9+'Cobranzas y pagos'!Q9+'Valores de Inicio'!R37</f>
        <v>0</v>
      </c>
      <c r="S13" s="265">
        <f>-'Cobranzas y pagos'!S9+'Cobranzas y pagos'!R9+'Valores de Inicio'!S37</f>
        <v>0</v>
      </c>
      <c r="T13" s="265">
        <f>-'Cobranzas y pagos'!T9+'Cobranzas y pagos'!S9+'Valores de Inicio'!T37</f>
        <v>0</v>
      </c>
      <c r="U13" s="265">
        <f>-'Cobranzas y pagos'!U9+'Cobranzas y pagos'!T9+'Valores de Inicio'!U37</f>
        <v>0</v>
      </c>
      <c r="V13" s="265">
        <f>-'Cobranzas y pagos'!V9+'Cobranzas y pagos'!U9+'Valores de Inicio'!V37</f>
        <v>0</v>
      </c>
      <c r="W13" s="265">
        <f>-'Cobranzas y pagos'!W9+'Cobranzas y pagos'!V9+'Valores de Inicio'!W37</f>
        <v>0</v>
      </c>
      <c r="X13" s="265">
        <f>-'Cobranzas y pagos'!X9+'Cobranzas y pagos'!W9+'Valores de Inicio'!X37</f>
        <v>0</v>
      </c>
      <c r="Y13" s="265">
        <f>-'Cobranzas y pagos'!Y9+'Cobranzas y pagos'!X9+'Valores de Inicio'!Y37</f>
        <v>0</v>
      </c>
      <c r="Z13" s="265">
        <f>-'Cobranzas y pagos'!Z9+'Cobranzas y pagos'!Y9+'Valores de Inicio'!Z37</f>
        <v>0</v>
      </c>
      <c r="AA13" s="265">
        <f>SUM(O13:Z13)</f>
        <v>0</v>
      </c>
      <c r="AB13" s="265">
        <f>-'Cobranzas y pagos'!AB9+'Cobranzas y pagos'!AA9+'Valores de Inicio'!AB37</f>
        <v>0</v>
      </c>
      <c r="AC13" s="265">
        <f>-'Cobranzas y pagos'!AC9+'Cobranzas y pagos'!AB9+'Valores de Inicio'!AC37</f>
        <v>0</v>
      </c>
      <c r="AD13" s="265">
        <f>-'Cobranzas y pagos'!AD9+'Cobranzas y pagos'!AC9+'Valores de Inicio'!AD37</f>
        <v>0</v>
      </c>
      <c r="AE13" s="145"/>
    </row>
    <row r="14" spans="1:31" ht="15" hidden="1">
      <c r="A14" s="264" t="s">
        <v>4</v>
      </c>
      <c r="B14" s="265">
        <f>'Cobranzas y pagos'!B50-'Valores de Inicio'!B49</f>
        <v>0</v>
      </c>
      <c r="C14" s="265">
        <f>'Cobranzas y pagos'!C50-'Cobranzas y pagos'!B50-'Valores de Inicio'!C49</f>
        <v>0</v>
      </c>
      <c r="D14" s="265">
        <f>'Cobranzas y pagos'!D50-'Cobranzas y pagos'!C50-'Valores de Inicio'!D49</f>
        <v>0</v>
      </c>
      <c r="E14" s="265">
        <f>'Cobranzas y pagos'!E50-'Cobranzas y pagos'!D50-'Valores de Inicio'!E49</f>
        <v>0</v>
      </c>
      <c r="F14" s="265">
        <f>'Cobranzas y pagos'!F50-'Cobranzas y pagos'!E50-'Valores de Inicio'!F49</f>
        <v>0</v>
      </c>
      <c r="G14" s="265">
        <f>'Cobranzas y pagos'!G50-'Cobranzas y pagos'!F50-'Valores de Inicio'!G49</f>
        <v>0</v>
      </c>
      <c r="H14" s="265">
        <f>'Cobranzas y pagos'!H50-'Cobranzas y pagos'!G50-'Valores de Inicio'!H49</f>
        <v>0</v>
      </c>
      <c r="I14" s="265">
        <f>'Cobranzas y pagos'!I50-'Cobranzas y pagos'!H50-'Valores de Inicio'!I49</f>
        <v>0</v>
      </c>
      <c r="J14" s="265">
        <f>'Cobranzas y pagos'!J50-'Cobranzas y pagos'!I50-'Valores de Inicio'!J49</f>
        <v>0</v>
      </c>
      <c r="K14" s="265">
        <f>'Cobranzas y pagos'!K50-'Cobranzas y pagos'!J50-'Valores de Inicio'!K49</f>
        <v>0</v>
      </c>
      <c r="L14" s="265">
        <f>'Cobranzas y pagos'!L50-'Cobranzas y pagos'!K50-'Valores de Inicio'!L49</f>
        <v>0</v>
      </c>
      <c r="M14" s="265">
        <f>'Cobranzas y pagos'!M50-'Cobranzas y pagos'!L50-'Valores de Inicio'!M49</f>
        <v>0</v>
      </c>
      <c r="N14" s="265">
        <f>SUM(B14:M14)</f>
        <v>0</v>
      </c>
      <c r="O14" s="265">
        <f>'Cobranzas y pagos'!O50-'Cobranzas y pagos'!N50-'Valores de Inicio'!O49</f>
        <v>0</v>
      </c>
      <c r="P14" s="265">
        <f>'Cobranzas y pagos'!P50-'Cobranzas y pagos'!O50-'Valores de Inicio'!P49</f>
        <v>0</v>
      </c>
      <c r="Q14" s="265">
        <f>'Cobranzas y pagos'!Q50-'Cobranzas y pagos'!P50-'Valores de Inicio'!Q49</f>
        <v>0</v>
      </c>
      <c r="R14" s="265">
        <f>'Cobranzas y pagos'!R50-'Cobranzas y pagos'!Q50-'Valores de Inicio'!R49</f>
        <v>0</v>
      </c>
      <c r="S14" s="265">
        <f>'Cobranzas y pagos'!S50-'Cobranzas y pagos'!R50-'Valores de Inicio'!S49</f>
        <v>0</v>
      </c>
      <c r="T14" s="265">
        <f>'Cobranzas y pagos'!T50-'Cobranzas y pagos'!S50-'Valores de Inicio'!T49</f>
        <v>0</v>
      </c>
      <c r="U14" s="265">
        <f>'Cobranzas y pagos'!U50-'Cobranzas y pagos'!T50-'Valores de Inicio'!U49</f>
        <v>0</v>
      </c>
      <c r="V14" s="265">
        <f>'Cobranzas y pagos'!V50-'Cobranzas y pagos'!U50-'Valores de Inicio'!V49</f>
        <v>0</v>
      </c>
      <c r="W14" s="265">
        <f>'Cobranzas y pagos'!W50-'Cobranzas y pagos'!V50-'Valores de Inicio'!W49</f>
        <v>0</v>
      </c>
      <c r="X14" s="265">
        <f>'Cobranzas y pagos'!X50-'Cobranzas y pagos'!W50-'Valores de Inicio'!X49</f>
        <v>0</v>
      </c>
      <c r="Y14" s="265">
        <f>'Cobranzas y pagos'!Y50-'Cobranzas y pagos'!X50-'Valores de Inicio'!Y49</f>
        <v>0</v>
      </c>
      <c r="Z14" s="265">
        <f>'Cobranzas y pagos'!Z50-'Cobranzas y pagos'!Y50-'Valores de Inicio'!Z49</f>
        <v>0</v>
      </c>
      <c r="AA14" s="265">
        <f>SUM(O14:Z14)</f>
        <v>0</v>
      </c>
      <c r="AB14" s="265">
        <f>'Cobranzas y pagos'!AB50-'Cobranzas y pagos'!AA50-'Valores de Inicio'!AB49</f>
        <v>0</v>
      </c>
      <c r="AC14" s="265">
        <f>'Cobranzas y pagos'!AC50-'Cobranzas y pagos'!AB50-'Valores de Inicio'!AC49</f>
        <v>0</v>
      </c>
      <c r="AD14" s="265">
        <f>'Cobranzas y pagos'!AD50-'Cobranzas y pagos'!AC50-'Valores de Inicio'!AD49</f>
        <v>0</v>
      </c>
      <c r="AE14" s="145"/>
    </row>
    <row r="15" spans="1:31" ht="15" hidden="1">
      <c r="A15" s="264" t="s">
        <v>109</v>
      </c>
      <c r="B15" s="265">
        <f>-Impuestos!B7-Impuestos!B16</f>
        <v>0</v>
      </c>
      <c r="C15" s="265">
        <f>-Impuestos!C7-Impuestos!C16</f>
        <v>0</v>
      </c>
      <c r="D15" s="265">
        <f>-Impuestos!D7-Impuestos!D16</f>
        <v>0</v>
      </c>
      <c r="E15" s="265">
        <f>-Impuestos!E7-Impuestos!E16</f>
        <v>0</v>
      </c>
      <c r="F15" s="265">
        <f>-Impuestos!F7-Impuestos!F16</f>
        <v>0</v>
      </c>
      <c r="G15" s="265">
        <f>-Impuestos!G7-Impuestos!G16</f>
        <v>0</v>
      </c>
      <c r="H15" s="265">
        <f>-Impuestos!H7-Impuestos!H16</f>
        <v>0</v>
      </c>
      <c r="I15" s="265">
        <f>-Impuestos!I7-Impuestos!I16</f>
        <v>0</v>
      </c>
      <c r="J15" s="265">
        <f>-Impuestos!J7-Impuestos!J16</f>
        <v>0</v>
      </c>
      <c r="K15" s="265">
        <f>-Impuestos!K7-Impuestos!K16</f>
        <v>0</v>
      </c>
      <c r="L15" s="265">
        <f>-Impuestos!L7-Impuestos!L16</f>
        <v>0</v>
      </c>
      <c r="M15" s="265">
        <f>-Impuestos!M7-Impuestos!M16</f>
        <v>0</v>
      </c>
      <c r="N15" s="265">
        <f>SUM(B15:M15)</f>
        <v>0</v>
      </c>
      <c r="O15" s="265">
        <f>-Impuestos!O7-Impuestos!O16</f>
        <v>0</v>
      </c>
      <c r="P15" s="265">
        <f>-Impuestos!P7-Impuestos!P16</f>
        <v>0</v>
      </c>
      <c r="Q15" s="265">
        <f>-Impuestos!Q7-Impuestos!Q16</f>
        <v>0</v>
      </c>
      <c r="R15" s="265">
        <f>-Impuestos!R7-Impuestos!R16</f>
        <v>0</v>
      </c>
      <c r="S15" s="265">
        <f>-Impuestos!S7-Impuestos!S16</f>
        <v>0</v>
      </c>
      <c r="T15" s="265">
        <f>-Impuestos!T7-Impuestos!T16</f>
        <v>0</v>
      </c>
      <c r="U15" s="265">
        <f>-Impuestos!U7-Impuestos!U16</f>
        <v>0</v>
      </c>
      <c r="V15" s="265">
        <f>-Impuestos!V7-Impuestos!V16</f>
        <v>0</v>
      </c>
      <c r="W15" s="265">
        <f>-Impuestos!W7-Impuestos!W16</f>
        <v>0</v>
      </c>
      <c r="X15" s="265">
        <f>-Impuestos!X7-Impuestos!X16</f>
        <v>0</v>
      </c>
      <c r="Y15" s="265">
        <f>-Impuestos!Y7-Impuestos!Y16</f>
        <v>0</v>
      </c>
      <c r="Z15" s="265">
        <f>-Impuestos!Z7-Impuestos!Z16</f>
        <v>0</v>
      </c>
      <c r="AA15" s="265">
        <f>SUM(O15:Z15)</f>
        <v>0</v>
      </c>
      <c r="AB15" s="265">
        <f>-Impuestos!AB7-Impuestos!AB16</f>
        <v>0</v>
      </c>
      <c r="AC15" s="265">
        <f>-Impuestos!AC7-Impuestos!AC16</f>
        <v>0</v>
      </c>
      <c r="AD15" s="265">
        <f>-Impuestos!AD7-Impuestos!AD16</f>
        <v>0</v>
      </c>
      <c r="AE15" s="145"/>
    </row>
    <row r="16" spans="1:31" ht="15" hidden="1">
      <c r="A16" s="264" t="s">
        <v>49</v>
      </c>
      <c r="B16" s="265">
        <f>-Inventarios!B5+'Valores de Inicio'!B10</f>
        <v>0</v>
      </c>
      <c r="C16" s="265">
        <f>-Inventarios!C5+Inventarios!B5</f>
        <v>0</v>
      </c>
      <c r="D16" s="265">
        <f>-Inventarios!D5+Inventarios!C5</f>
        <v>0</v>
      </c>
      <c r="E16" s="265">
        <f>-Inventarios!E5+Inventarios!D5</f>
        <v>0</v>
      </c>
      <c r="F16" s="265">
        <f>-Inventarios!F5+Inventarios!E5</f>
        <v>0</v>
      </c>
      <c r="G16" s="265">
        <f>-Inventarios!G5+Inventarios!F5</f>
        <v>0</v>
      </c>
      <c r="H16" s="265">
        <f>-Inventarios!H5+Inventarios!G5</f>
        <v>0</v>
      </c>
      <c r="I16" s="265">
        <f>-Inventarios!I5+Inventarios!H5</f>
        <v>0</v>
      </c>
      <c r="J16" s="265">
        <f>-Inventarios!J5+Inventarios!I5</f>
        <v>0</v>
      </c>
      <c r="K16" s="265">
        <f>-Inventarios!K5+Inventarios!J5</f>
        <v>0</v>
      </c>
      <c r="L16" s="265">
        <f>-Inventarios!L5+Inventarios!K5</f>
        <v>0</v>
      </c>
      <c r="M16" s="265">
        <f>-Inventarios!M5+Inventarios!L5</f>
        <v>0</v>
      </c>
      <c r="N16" s="265">
        <f>SUM(B16:M16)</f>
        <v>0</v>
      </c>
      <c r="O16" s="265">
        <f>-Inventarios!O5+Inventarios!N5</f>
        <v>0</v>
      </c>
      <c r="P16" s="265">
        <f>-Inventarios!P5+Inventarios!O5</f>
        <v>0</v>
      </c>
      <c r="Q16" s="265">
        <f>-Inventarios!Q5+Inventarios!P5</f>
        <v>0</v>
      </c>
      <c r="R16" s="265">
        <f>-Inventarios!R5+Inventarios!Q5</f>
        <v>0</v>
      </c>
      <c r="S16" s="265">
        <f>-Inventarios!S5+Inventarios!R5</f>
        <v>0</v>
      </c>
      <c r="T16" s="265">
        <f>-Inventarios!T5+Inventarios!S5</f>
        <v>0</v>
      </c>
      <c r="U16" s="265">
        <f>-Inventarios!U5+Inventarios!T5</f>
        <v>0</v>
      </c>
      <c r="V16" s="265">
        <f>-Inventarios!V5+Inventarios!U5</f>
        <v>0</v>
      </c>
      <c r="W16" s="265">
        <f>-Inventarios!W5+Inventarios!V5</f>
        <v>0</v>
      </c>
      <c r="X16" s="265">
        <f>-Inventarios!X5+Inventarios!W5</f>
        <v>0</v>
      </c>
      <c r="Y16" s="265">
        <f>-Inventarios!Y5+Inventarios!X5</f>
        <v>0</v>
      </c>
      <c r="Z16" s="265">
        <f>-Inventarios!Z5+Inventarios!Y5</f>
        <v>0</v>
      </c>
      <c r="AA16" s="265">
        <f>SUM(O16:Z16)</f>
        <v>0</v>
      </c>
      <c r="AB16" s="265">
        <f>-Inventarios!AB5+Inventarios!AA5</f>
        <v>0</v>
      </c>
      <c r="AC16" s="265">
        <f>-Inventarios!AC5+Inventarios!AB5</f>
        <v>0</v>
      </c>
      <c r="AD16" s="265">
        <f>-Inventarios!AD5+Inventarios!AC5</f>
        <v>0</v>
      </c>
      <c r="AE16" s="145"/>
    </row>
    <row r="17" spans="1:31" s="14" customFormat="1" ht="15">
      <c r="A17" s="266" t="s">
        <v>202</v>
      </c>
      <c r="B17" s="267">
        <f aca="true" t="shared" si="5" ref="B17:AD17">SUM(B13:B16)</f>
        <v>0</v>
      </c>
      <c r="C17" s="267">
        <f t="shared" si="5"/>
        <v>0</v>
      </c>
      <c r="D17" s="267">
        <f t="shared" si="5"/>
        <v>0</v>
      </c>
      <c r="E17" s="267">
        <f t="shared" si="5"/>
        <v>0</v>
      </c>
      <c r="F17" s="267">
        <f t="shared" si="5"/>
        <v>0</v>
      </c>
      <c r="G17" s="267">
        <f t="shared" si="5"/>
        <v>0</v>
      </c>
      <c r="H17" s="267">
        <f t="shared" si="5"/>
        <v>0</v>
      </c>
      <c r="I17" s="267">
        <f t="shared" si="5"/>
        <v>0</v>
      </c>
      <c r="J17" s="267">
        <f t="shared" si="5"/>
        <v>0</v>
      </c>
      <c r="K17" s="267">
        <f t="shared" si="5"/>
        <v>0</v>
      </c>
      <c r="L17" s="267">
        <f t="shared" si="5"/>
        <v>0</v>
      </c>
      <c r="M17" s="267">
        <f t="shared" si="5"/>
        <v>0</v>
      </c>
      <c r="N17" s="267">
        <f t="shared" si="5"/>
        <v>0</v>
      </c>
      <c r="O17" s="267">
        <f t="shared" si="5"/>
        <v>0</v>
      </c>
      <c r="P17" s="267">
        <f t="shared" si="5"/>
        <v>0</v>
      </c>
      <c r="Q17" s="267">
        <f t="shared" si="5"/>
        <v>0</v>
      </c>
      <c r="R17" s="267">
        <f t="shared" si="5"/>
        <v>0</v>
      </c>
      <c r="S17" s="267">
        <f t="shared" si="5"/>
        <v>0</v>
      </c>
      <c r="T17" s="267">
        <f t="shared" si="5"/>
        <v>0</v>
      </c>
      <c r="U17" s="267">
        <f t="shared" si="5"/>
        <v>0</v>
      </c>
      <c r="V17" s="267">
        <f t="shared" si="5"/>
        <v>0</v>
      </c>
      <c r="W17" s="267">
        <f t="shared" si="5"/>
        <v>0</v>
      </c>
      <c r="X17" s="267">
        <f t="shared" si="5"/>
        <v>0</v>
      </c>
      <c r="Y17" s="267">
        <f t="shared" si="5"/>
        <v>0</v>
      </c>
      <c r="Z17" s="267">
        <f t="shared" si="5"/>
        <v>0</v>
      </c>
      <c r="AA17" s="267">
        <f t="shared" si="5"/>
        <v>0</v>
      </c>
      <c r="AB17" s="267">
        <f t="shared" si="5"/>
        <v>0</v>
      </c>
      <c r="AC17" s="267">
        <f t="shared" si="5"/>
        <v>0</v>
      </c>
      <c r="AD17" s="267">
        <f t="shared" si="5"/>
        <v>0</v>
      </c>
      <c r="AE17" s="179"/>
    </row>
    <row r="18" spans="1:31" ht="15">
      <c r="A18" s="268"/>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145"/>
    </row>
    <row r="19" spans="1:31" s="14" customFormat="1" ht="15">
      <c r="A19" s="266" t="s">
        <v>76</v>
      </c>
      <c r="B19" s="267">
        <f>-Inversiones!B11</f>
        <v>-25500</v>
      </c>
      <c r="C19" s="267">
        <f>-Inversiones!C11</f>
        <v>0</v>
      </c>
      <c r="D19" s="267">
        <f>-Inversiones!D11</f>
        <v>0</v>
      </c>
      <c r="E19" s="267">
        <f>-Inversiones!E11</f>
        <v>0</v>
      </c>
      <c r="F19" s="267">
        <f>-Inversiones!F11</f>
        <v>0</v>
      </c>
      <c r="G19" s="267">
        <f>-Inversiones!G11</f>
        <v>0</v>
      </c>
      <c r="H19" s="267">
        <f>-Inversiones!H11</f>
        <v>0</v>
      </c>
      <c r="I19" s="267">
        <f>-Inversiones!I11</f>
        <v>0</v>
      </c>
      <c r="J19" s="267">
        <f>-Inversiones!J11</f>
        <v>0</v>
      </c>
      <c r="K19" s="267">
        <f>-Inversiones!K11</f>
        <v>0</v>
      </c>
      <c r="L19" s="267">
        <f>-Inversiones!L11</f>
        <v>0</v>
      </c>
      <c r="M19" s="267">
        <f>-Inversiones!M11</f>
        <v>0</v>
      </c>
      <c r="N19" s="267">
        <f>-Inversiones!N11</f>
        <v>-25500</v>
      </c>
      <c r="O19" s="267">
        <f>-Inversiones!O11</f>
        <v>-7000</v>
      </c>
      <c r="P19" s="267">
        <f>-Inversiones!P11</f>
        <v>0</v>
      </c>
      <c r="Q19" s="267">
        <f>-Inversiones!Q11</f>
        <v>0</v>
      </c>
      <c r="R19" s="267">
        <f>-Inversiones!R11</f>
        <v>0</v>
      </c>
      <c r="S19" s="267">
        <f>-Inversiones!S11</f>
        <v>0</v>
      </c>
      <c r="T19" s="267">
        <f>-Inversiones!T11</f>
        <v>0</v>
      </c>
      <c r="U19" s="267">
        <f>-Inversiones!U11</f>
        <v>0</v>
      </c>
      <c r="V19" s="267">
        <f>-Inversiones!V11</f>
        <v>0</v>
      </c>
      <c r="W19" s="267">
        <f>-Inversiones!W11</f>
        <v>0</v>
      </c>
      <c r="X19" s="267">
        <f>-Inversiones!X11</f>
        <v>0</v>
      </c>
      <c r="Y19" s="267">
        <f>-Inversiones!Y11</f>
        <v>0</v>
      </c>
      <c r="Z19" s="267">
        <f>-Inversiones!Z11</f>
        <v>0</v>
      </c>
      <c r="AA19" s="267">
        <f>-Inversiones!AA11</f>
        <v>-7000</v>
      </c>
      <c r="AB19" s="267">
        <f>-Inversiones!AB11</f>
        <v>-7000</v>
      </c>
      <c r="AC19" s="267">
        <f>-Inversiones!AC11</f>
        <v>0</v>
      </c>
      <c r="AD19" s="267">
        <f>-Inversiones!AD11</f>
        <v>0</v>
      </c>
      <c r="AE19" s="179"/>
    </row>
    <row r="20" spans="1:31" ht="1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145"/>
    </row>
    <row r="21" spans="1:31" ht="15">
      <c r="A21" s="146" t="s">
        <v>51</v>
      </c>
      <c r="B21" s="146">
        <f>B11+B17+B19</f>
        <v>-24874.347222222223</v>
      </c>
      <c r="C21" s="146">
        <f aca="true" t="shared" si="6" ref="C21:AD21">C11+C17+C19</f>
        <v>625.6527777777778</v>
      </c>
      <c r="D21" s="146">
        <f t="shared" si="6"/>
        <v>625.6527777777778</v>
      </c>
      <c r="E21" s="146">
        <f t="shared" si="6"/>
        <v>625.6527777777778</v>
      </c>
      <c r="F21" s="146">
        <f t="shared" si="6"/>
        <v>625.6527777777778</v>
      </c>
      <c r="G21" s="146">
        <f t="shared" si="6"/>
        <v>625.6527777777778</v>
      </c>
      <c r="H21" s="146">
        <f t="shared" si="6"/>
        <v>625.6527777777778</v>
      </c>
      <c r="I21" s="146">
        <f t="shared" si="6"/>
        <v>625.6527777777778</v>
      </c>
      <c r="J21" s="146">
        <f t="shared" si="6"/>
        <v>625.6527777777778</v>
      </c>
      <c r="K21" s="146">
        <f t="shared" si="6"/>
        <v>625.6527777777778</v>
      </c>
      <c r="L21" s="146">
        <f t="shared" si="6"/>
        <v>625.6527777777778</v>
      </c>
      <c r="M21" s="146">
        <f t="shared" si="6"/>
        <v>625.6527777777778</v>
      </c>
      <c r="N21" s="146">
        <f t="shared" si="6"/>
        <v>-17992.166666666664</v>
      </c>
      <c r="O21" s="146">
        <f t="shared" si="6"/>
        <v>-5622.770833333333</v>
      </c>
      <c r="P21" s="146">
        <f t="shared" si="6"/>
        <v>1377.2291666666667</v>
      </c>
      <c r="Q21" s="146">
        <f t="shared" si="6"/>
        <v>1377.2291666666667</v>
      </c>
      <c r="R21" s="146">
        <f t="shared" si="6"/>
        <v>1377.2291666666667</v>
      </c>
      <c r="S21" s="146">
        <f t="shared" si="6"/>
        <v>1377.2291666666667</v>
      </c>
      <c r="T21" s="146">
        <f t="shared" si="6"/>
        <v>1377.2291666666667</v>
      </c>
      <c r="U21" s="146">
        <f t="shared" si="6"/>
        <v>1377.2291666666667</v>
      </c>
      <c r="V21" s="146">
        <f t="shared" si="6"/>
        <v>1377.2291666666667</v>
      </c>
      <c r="W21" s="146">
        <f t="shared" si="6"/>
        <v>1377.2291666666667</v>
      </c>
      <c r="X21" s="146">
        <f t="shared" si="6"/>
        <v>1377.2291666666667</v>
      </c>
      <c r="Y21" s="146">
        <f t="shared" si="6"/>
        <v>1377.2291666666667</v>
      </c>
      <c r="Z21" s="146">
        <f t="shared" si="6"/>
        <v>1377.2291666666667</v>
      </c>
      <c r="AA21" s="146">
        <f t="shared" si="6"/>
        <v>9526.750000000004</v>
      </c>
      <c r="AB21" s="146">
        <f t="shared" si="6"/>
        <v>13012.75</v>
      </c>
      <c r="AC21" s="146">
        <f t="shared" si="6"/>
        <v>20603.550000000003</v>
      </c>
      <c r="AD21" s="146">
        <f t="shared" si="6"/>
        <v>27469.15000000002</v>
      </c>
      <c r="AE21" s="145"/>
    </row>
    <row r="22" spans="1:31" ht="15">
      <c r="A22" s="237"/>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145"/>
    </row>
    <row r="23" spans="1:31" ht="15">
      <c r="A23" s="264" t="s">
        <v>201</v>
      </c>
      <c r="B23" s="265">
        <f>Financiamiento!B4</f>
        <v>30000</v>
      </c>
      <c r="C23" s="265">
        <f>Financiamiento!C4</f>
        <v>0</v>
      </c>
      <c r="D23" s="265">
        <f>Financiamiento!D4</f>
        <v>0</v>
      </c>
      <c r="E23" s="265">
        <f>Financiamiento!E4</f>
        <v>0</v>
      </c>
      <c r="F23" s="265">
        <f>Financiamiento!F4</f>
        <v>0</v>
      </c>
      <c r="G23" s="265">
        <f>Financiamiento!G4</f>
        <v>0</v>
      </c>
      <c r="H23" s="265">
        <f>Financiamiento!H4</f>
        <v>0</v>
      </c>
      <c r="I23" s="265">
        <f>Financiamiento!I4</f>
        <v>0</v>
      </c>
      <c r="J23" s="265">
        <f>Financiamiento!J4</f>
        <v>0</v>
      </c>
      <c r="K23" s="265">
        <f>Financiamiento!K4</f>
        <v>0</v>
      </c>
      <c r="L23" s="265">
        <f>Financiamiento!L4</f>
        <v>0</v>
      </c>
      <c r="M23" s="265">
        <f>Financiamiento!M4</f>
        <v>0</v>
      </c>
      <c r="N23" s="265">
        <f>Financiamiento!N4</f>
        <v>30000</v>
      </c>
      <c r="O23" s="265">
        <f>Financiamiento!O4</f>
        <v>5000</v>
      </c>
      <c r="P23" s="265">
        <f>Financiamiento!P4</f>
        <v>0</v>
      </c>
      <c r="Q23" s="265">
        <f>Financiamiento!Q4</f>
        <v>0</v>
      </c>
      <c r="R23" s="265">
        <f>Financiamiento!R4</f>
        <v>0</v>
      </c>
      <c r="S23" s="265">
        <f>Financiamiento!S4</f>
        <v>0</v>
      </c>
      <c r="T23" s="265">
        <f>Financiamiento!T4</f>
        <v>0</v>
      </c>
      <c r="U23" s="265">
        <f>Financiamiento!U4</f>
        <v>0</v>
      </c>
      <c r="V23" s="265">
        <f>Financiamiento!V4</f>
        <v>0</v>
      </c>
      <c r="W23" s="265">
        <f>Financiamiento!W4</f>
        <v>0</v>
      </c>
      <c r="X23" s="265">
        <f>Financiamiento!X4</f>
        <v>0</v>
      </c>
      <c r="Y23" s="265">
        <f>Financiamiento!Y4</f>
        <v>0</v>
      </c>
      <c r="Z23" s="265">
        <f>Financiamiento!Z4</f>
        <v>0</v>
      </c>
      <c r="AA23" s="265">
        <f>Financiamiento!AA4</f>
        <v>5000</v>
      </c>
      <c r="AB23" s="265">
        <f>Financiamiento!AB4</f>
        <v>0</v>
      </c>
      <c r="AC23" s="265">
        <f>Financiamiento!AC4</f>
        <v>0</v>
      </c>
      <c r="AD23" s="265">
        <f>Financiamiento!AD4</f>
        <v>0</v>
      </c>
      <c r="AE23" s="145"/>
    </row>
    <row r="24" spans="1:31" ht="15">
      <c r="A24" s="264" t="s">
        <v>45</v>
      </c>
      <c r="B24" s="265">
        <f>-Financiamiento!B5</f>
        <v>0</v>
      </c>
      <c r="C24" s="265">
        <f>-Financiamiento!C5</f>
        <v>0</v>
      </c>
      <c r="D24" s="265">
        <f>-Financiamiento!D5</f>
        <v>0</v>
      </c>
      <c r="E24" s="265">
        <f>-Financiamiento!E5</f>
        <v>0</v>
      </c>
      <c r="F24" s="265">
        <f>-Financiamiento!F5</f>
        <v>0</v>
      </c>
      <c r="G24" s="265">
        <f>-Financiamiento!G5</f>
        <v>0</v>
      </c>
      <c r="H24" s="265">
        <f>-Financiamiento!H5</f>
        <v>0</v>
      </c>
      <c r="I24" s="265">
        <f>-Financiamiento!I5</f>
        <v>0</v>
      </c>
      <c r="J24" s="265">
        <f>-Financiamiento!J5</f>
        <v>0</v>
      </c>
      <c r="K24" s="265">
        <f>-Financiamiento!K5</f>
        <v>0</v>
      </c>
      <c r="L24" s="265">
        <f>-Financiamiento!L5</f>
        <v>0</v>
      </c>
      <c r="M24" s="265">
        <f>-Financiamiento!M5</f>
        <v>-2000</v>
      </c>
      <c r="N24" s="265">
        <f>-Financiamiento!N5</f>
        <v>-2000</v>
      </c>
      <c r="O24" s="265">
        <f>-Financiamiento!O5</f>
        <v>0</v>
      </c>
      <c r="P24" s="265">
        <f>-Financiamiento!P5</f>
        <v>0</v>
      </c>
      <c r="Q24" s="265">
        <f>-Financiamiento!Q5</f>
        <v>0</v>
      </c>
      <c r="R24" s="265">
        <f>-Financiamiento!R5</f>
        <v>0</v>
      </c>
      <c r="S24" s="265">
        <f>-Financiamiento!S5</f>
        <v>0</v>
      </c>
      <c r="T24" s="265">
        <f>-Financiamiento!T5</f>
        <v>0</v>
      </c>
      <c r="U24" s="265">
        <f>-Financiamiento!U5</f>
        <v>0</v>
      </c>
      <c r="V24" s="265">
        <f>-Financiamiento!V5</f>
        <v>0</v>
      </c>
      <c r="W24" s="265">
        <f>-Financiamiento!W5</f>
        <v>0</v>
      </c>
      <c r="X24" s="265">
        <f>-Financiamiento!X5</f>
        <v>0</v>
      </c>
      <c r="Y24" s="265">
        <f>-Financiamiento!Y5</f>
        <v>0</v>
      </c>
      <c r="Z24" s="265">
        <f>-Financiamiento!Z5</f>
        <v>-3000</v>
      </c>
      <c r="AA24" s="265">
        <f>-Financiamiento!AA5</f>
        <v>-3000</v>
      </c>
      <c r="AB24" s="265">
        <f>-Financiamiento!AB5</f>
        <v>-5000</v>
      </c>
      <c r="AC24" s="265">
        <f>-Financiamiento!AC5</f>
        <v>-7000</v>
      </c>
      <c r="AD24" s="265">
        <f>-Financiamiento!AD5</f>
        <v>-9000</v>
      </c>
      <c r="AE24" s="145"/>
    </row>
    <row r="25" spans="1:31" s="14" customFormat="1" ht="15">
      <c r="A25" s="266" t="s">
        <v>99</v>
      </c>
      <c r="B25" s="267">
        <f aca="true" t="shared" si="7" ref="B25:AD25">B24+B23</f>
        <v>30000</v>
      </c>
      <c r="C25" s="267">
        <f t="shared" si="7"/>
        <v>0</v>
      </c>
      <c r="D25" s="267">
        <f t="shared" si="7"/>
        <v>0</v>
      </c>
      <c r="E25" s="267">
        <f t="shared" si="7"/>
        <v>0</v>
      </c>
      <c r="F25" s="267">
        <f t="shared" si="7"/>
        <v>0</v>
      </c>
      <c r="G25" s="267">
        <f t="shared" si="7"/>
        <v>0</v>
      </c>
      <c r="H25" s="267">
        <f t="shared" si="7"/>
        <v>0</v>
      </c>
      <c r="I25" s="267">
        <f t="shared" si="7"/>
        <v>0</v>
      </c>
      <c r="J25" s="267">
        <f t="shared" si="7"/>
        <v>0</v>
      </c>
      <c r="K25" s="267">
        <f t="shared" si="7"/>
        <v>0</v>
      </c>
      <c r="L25" s="267">
        <f t="shared" si="7"/>
        <v>0</v>
      </c>
      <c r="M25" s="267">
        <f t="shared" si="7"/>
        <v>-2000</v>
      </c>
      <c r="N25" s="267">
        <f t="shared" si="7"/>
        <v>28000</v>
      </c>
      <c r="O25" s="267">
        <f t="shared" si="7"/>
        <v>5000</v>
      </c>
      <c r="P25" s="267">
        <f t="shared" si="7"/>
        <v>0</v>
      </c>
      <c r="Q25" s="267">
        <f t="shared" si="7"/>
        <v>0</v>
      </c>
      <c r="R25" s="267">
        <f t="shared" si="7"/>
        <v>0</v>
      </c>
      <c r="S25" s="267">
        <f t="shared" si="7"/>
        <v>0</v>
      </c>
      <c r="T25" s="267">
        <f t="shared" si="7"/>
        <v>0</v>
      </c>
      <c r="U25" s="267">
        <f t="shared" si="7"/>
        <v>0</v>
      </c>
      <c r="V25" s="267">
        <f t="shared" si="7"/>
        <v>0</v>
      </c>
      <c r="W25" s="267">
        <f t="shared" si="7"/>
        <v>0</v>
      </c>
      <c r="X25" s="267">
        <f t="shared" si="7"/>
        <v>0</v>
      </c>
      <c r="Y25" s="267">
        <f t="shared" si="7"/>
        <v>0</v>
      </c>
      <c r="Z25" s="267">
        <f t="shared" si="7"/>
        <v>-3000</v>
      </c>
      <c r="AA25" s="267">
        <f t="shared" si="7"/>
        <v>2000</v>
      </c>
      <c r="AB25" s="267">
        <f t="shared" si="7"/>
        <v>-5000</v>
      </c>
      <c r="AC25" s="267">
        <f t="shared" si="7"/>
        <v>-7000</v>
      </c>
      <c r="AD25" s="267">
        <f t="shared" si="7"/>
        <v>-9000</v>
      </c>
      <c r="AE25" s="179"/>
    </row>
    <row r="26" spans="1:31" ht="15">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145"/>
    </row>
    <row r="27" spans="1:31" ht="15">
      <c r="A27" s="264" t="s">
        <v>176</v>
      </c>
      <c r="B27" s="265">
        <f>Financiamiento!B10-Financiamiento!B11-Financiamiento!B14-'Valores de Inicio'!B55-'Valores de Inicio'!B56</f>
        <v>0</v>
      </c>
      <c r="C27" s="265">
        <f>Financiamiento!C10-Financiamiento!C11-Financiamiento!C14-'Valores de Inicio'!C55-'Valores de Inicio'!C56</f>
        <v>0</v>
      </c>
      <c r="D27" s="265">
        <f>Financiamiento!D10-Financiamiento!D11-Financiamiento!D14-'Valores de Inicio'!D55-'Valores de Inicio'!D56</f>
        <v>0</v>
      </c>
      <c r="E27" s="265">
        <f>Financiamiento!E10-Financiamiento!E11-Financiamiento!E14-'Valores de Inicio'!E55-'Valores de Inicio'!E56</f>
        <v>0</v>
      </c>
      <c r="F27" s="265">
        <f>Financiamiento!F10-Financiamiento!F11-Financiamiento!F14-'Valores de Inicio'!F55-'Valores de Inicio'!F56</f>
        <v>0</v>
      </c>
      <c r="G27" s="265">
        <f>Financiamiento!G10-Financiamiento!G11-Financiamiento!G14-'Valores de Inicio'!G55-'Valores de Inicio'!G56</f>
        <v>0</v>
      </c>
      <c r="H27" s="265">
        <f>Financiamiento!H10-Financiamiento!H11-Financiamiento!H14-'Valores de Inicio'!H55-'Valores de Inicio'!H56</f>
        <v>0</v>
      </c>
      <c r="I27" s="265">
        <f>Financiamiento!I10-Financiamiento!I11-Financiamiento!I14-'Valores de Inicio'!I55-'Valores de Inicio'!I56</f>
        <v>0</v>
      </c>
      <c r="J27" s="265">
        <f>Financiamiento!J10-Financiamiento!J11-Financiamiento!J14-'Valores de Inicio'!J55-'Valores de Inicio'!J56</f>
        <v>0</v>
      </c>
      <c r="K27" s="265">
        <f>Financiamiento!K10-Financiamiento!K11-Financiamiento!K14-'Valores de Inicio'!K55-'Valores de Inicio'!K56</f>
        <v>0</v>
      </c>
      <c r="L27" s="265">
        <f>Financiamiento!L10-Financiamiento!L11-Financiamiento!L14-'Valores de Inicio'!L55-'Valores de Inicio'!L56</f>
        <v>0</v>
      </c>
      <c r="M27" s="265">
        <f>Financiamiento!M10-Financiamiento!M11-Financiamiento!M14-'Valores de Inicio'!M55-'Valores de Inicio'!M56</f>
        <v>0</v>
      </c>
      <c r="N27" s="265">
        <f>Financiamiento!N10-Financiamiento!N11-Financiamiento!N14-'Valores de Inicio'!N55-'Valores de Inicio'!N56</f>
        <v>0</v>
      </c>
      <c r="O27" s="265">
        <f>Financiamiento!O10-Financiamiento!O11-Financiamiento!O14-'Valores de Inicio'!O55-'Valores de Inicio'!O56</f>
        <v>0</v>
      </c>
      <c r="P27" s="265">
        <f>Financiamiento!P10-Financiamiento!P11-Financiamiento!P14-'Valores de Inicio'!P55-'Valores de Inicio'!P56</f>
        <v>0</v>
      </c>
      <c r="Q27" s="265">
        <f>Financiamiento!Q10-Financiamiento!Q11-Financiamiento!Q14-'Valores de Inicio'!Q55-'Valores de Inicio'!Q56</f>
        <v>0</v>
      </c>
      <c r="R27" s="265">
        <f>Financiamiento!R10-Financiamiento!R11-Financiamiento!R14-'Valores de Inicio'!R55-'Valores de Inicio'!R56</f>
        <v>0</v>
      </c>
      <c r="S27" s="265">
        <f>Financiamiento!S10-Financiamiento!S11-Financiamiento!S14-'Valores de Inicio'!S55-'Valores de Inicio'!S56</f>
        <v>0</v>
      </c>
      <c r="T27" s="265">
        <f>Financiamiento!T10-Financiamiento!T11-Financiamiento!T14-'Valores de Inicio'!T55-'Valores de Inicio'!T56</f>
        <v>0</v>
      </c>
      <c r="U27" s="265">
        <f>Financiamiento!U10-Financiamiento!U11-Financiamiento!U14-'Valores de Inicio'!U55-'Valores de Inicio'!U56</f>
        <v>0</v>
      </c>
      <c r="V27" s="265">
        <f>Financiamiento!V10-Financiamiento!V11-Financiamiento!V14-'Valores de Inicio'!V55-'Valores de Inicio'!V56</f>
        <v>0</v>
      </c>
      <c r="W27" s="265">
        <f>Financiamiento!W10-Financiamiento!W11-Financiamiento!W14-'Valores de Inicio'!W55-'Valores de Inicio'!W56</f>
        <v>0</v>
      </c>
      <c r="X27" s="265">
        <f>Financiamiento!X10-Financiamiento!X11-Financiamiento!X14-'Valores de Inicio'!X55-'Valores de Inicio'!X56</f>
        <v>0</v>
      </c>
      <c r="Y27" s="265">
        <f>Financiamiento!Y10-Financiamiento!Y11-Financiamiento!Y14-'Valores de Inicio'!Y55-'Valores de Inicio'!Y56</f>
        <v>0</v>
      </c>
      <c r="Z27" s="265">
        <f>Financiamiento!Z10-Financiamiento!Z11-Financiamiento!Z14-'Valores de Inicio'!Z55-'Valores de Inicio'!Z56</f>
        <v>0</v>
      </c>
      <c r="AA27" s="265">
        <f>Financiamiento!AA10-Financiamiento!AA11-Financiamiento!AA14-'Valores de Inicio'!AA55-'Valores de Inicio'!AA56</f>
        <v>0</v>
      </c>
      <c r="AB27" s="265">
        <f>Financiamiento!AB10-Financiamiento!AB11-Financiamiento!AB14-'Valores de Inicio'!AB55-'Valores de Inicio'!AB56</f>
        <v>0</v>
      </c>
      <c r="AC27" s="265">
        <f>Financiamiento!AC10-Financiamiento!AC11-Financiamiento!AC14-'Valores de Inicio'!AC55-'Valores de Inicio'!AC56</f>
        <v>0</v>
      </c>
      <c r="AD27" s="265">
        <f>Financiamiento!AD10-Financiamiento!AD11-Financiamiento!AD14-'Valores de Inicio'!AD55-'Valores de Inicio'!AD56</f>
        <v>0</v>
      </c>
      <c r="AE27" s="145"/>
    </row>
    <row r="28" spans="1:31" ht="15">
      <c r="A28" s="264" t="s">
        <v>0</v>
      </c>
      <c r="B28" s="265">
        <f>Financiamiento!B18-Financiamiento!B19-Financiamiento!B22-'Valores de Inicio'!B62-'Valores de Inicio'!B63</f>
        <v>0</v>
      </c>
      <c r="C28" s="265">
        <f>Financiamiento!C18-Financiamiento!C19-Financiamiento!C22-'Valores de Inicio'!C62-'Valores de Inicio'!C63</f>
        <v>0</v>
      </c>
      <c r="D28" s="265">
        <f>Financiamiento!D18-Financiamiento!D19-Financiamiento!D22-'Valores de Inicio'!D62-'Valores de Inicio'!D63</f>
        <v>0</v>
      </c>
      <c r="E28" s="265">
        <f>Financiamiento!E18-Financiamiento!E19-Financiamiento!E22-'Valores de Inicio'!E62-'Valores de Inicio'!E63</f>
        <v>0</v>
      </c>
      <c r="F28" s="265">
        <f>Financiamiento!F18-Financiamiento!F19-Financiamiento!F22-'Valores de Inicio'!F62-'Valores de Inicio'!F63</f>
        <v>0</v>
      </c>
      <c r="G28" s="265">
        <f>Financiamiento!G18-Financiamiento!G19-Financiamiento!G22-'Valores de Inicio'!G62-'Valores de Inicio'!G63</f>
        <v>0</v>
      </c>
      <c r="H28" s="265">
        <f>Financiamiento!H18-Financiamiento!H19-Financiamiento!H22-'Valores de Inicio'!H62-'Valores de Inicio'!H63</f>
        <v>0</v>
      </c>
      <c r="I28" s="265">
        <f>Financiamiento!I18-Financiamiento!I19-Financiamiento!I22-'Valores de Inicio'!I62-'Valores de Inicio'!I63</f>
        <v>0</v>
      </c>
      <c r="J28" s="265">
        <f>Financiamiento!J18-Financiamiento!J19-Financiamiento!J22-'Valores de Inicio'!J62-'Valores de Inicio'!J63</f>
        <v>0</v>
      </c>
      <c r="K28" s="265">
        <f>Financiamiento!K18-Financiamiento!K19-Financiamiento!K22-'Valores de Inicio'!K62-'Valores de Inicio'!K63</f>
        <v>0</v>
      </c>
      <c r="L28" s="265">
        <f>Financiamiento!L18-Financiamiento!L19-Financiamiento!L22-'Valores de Inicio'!L62-'Valores de Inicio'!L63</f>
        <v>0</v>
      </c>
      <c r="M28" s="265">
        <f>Financiamiento!M18-Financiamiento!M19-Financiamiento!M22-'Valores de Inicio'!M62-'Valores de Inicio'!M63</f>
        <v>0</v>
      </c>
      <c r="N28" s="265">
        <f>Financiamiento!N18-Financiamiento!N19-Financiamiento!N22-'Valores de Inicio'!N62-'Valores de Inicio'!N63</f>
        <v>0</v>
      </c>
      <c r="O28" s="265">
        <f>Financiamiento!O18-Financiamiento!O19-Financiamiento!O22-'Valores de Inicio'!O62-'Valores de Inicio'!O63</f>
        <v>0</v>
      </c>
      <c r="P28" s="265">
        <f>Financiamiento!P18-Financiamiento!P19-Financiamiento!P22-'Valores de Inicio'!P62-'Valores de Inicio'!P63</f>
        <v>0</v>
      </c>
      <c r="Q28" s="265">
        <f>Financiamiento!Q18-Financiamiento!Q19-Financiamiento!Q22-'Valores de Inicio'!Q62-'Valores de Inicio'!Q63</f>
        <v>0</v>
      </c>
      <c r="R28" s="265">
        <f>Financiamiento!R18-Financiamiento!R19-Financiamiento!R22-'Valores de Inicio'!R62-'Valores de Inicio'!R63</f>
        <v>0</v>
      </c>
      <c r="S28" s="265">
        <f>Financiamiento!S18-Financiamiento!S19-Financiamiento!S22-'Valores de Inicio'!S62-'Valores de Inicio'!S63</f>
        <v>0</v>
      </c>
      <c r="T28" s="265">
        <f>Financiamiento!T18-Financiamiento!T19-Financiamiento!T22-'Valores de Inicio'!T62-'Valores de Inicio'!T63</f>
        <v>0</v>
      </c>
      <c r="U28" s="265">
        <f>Financiamiento!U18-Financiamiento!U19-Financiamiento!U22-'Valores de Inicio'!U62-'Valores de Inicio'!U63</f>
        <v>0</v>
      </c>
      <c r="V28" s="265">
        <f>Financiamiento!V18-Financiamiento!V19-Financiamiento!V22-'Valores de Inicio'!V62-'Valores de Inicio'!V63</f>
        <v>0</v>
      </c>
      <c r="W28" s="265">
        <f>Financiamiento!W18-Financiamiento!W19-Financiamiento!W22-'Valores de Inicio'!W62-'Valores de Inicio'!W63</f>
        <v>0</v>
      </c>
      <c r="X28" s="265">
        <f>Financiamiento!X18-Financiamiento!X19-Financiamiento!X22-'Valores de Inicio'!X62-'Valores de Inicio'!X63</f>
        <v>0</v>
      </c>
      <c r="Y28" s="265">
        <f>Financiamiento!Y18-Financiamiento!Y19-Financiamiento!Y22-'Valores de Inicio'!Y62-'Valores de Inicio'!Y63</f>
        <v>0</v>
      </c>
      <c r="Z28" s="265">
        <f>Financiamiento!Z18-Financiamiento!Z19-Financiamiento!Z22-'Valores de Inicio'!Z62-'Valores de Inicio'!Z63</f>
        <v>0</v>
      </c>
      <c r="AA28" s="265">
        <f>Financiamiento!AA18-Financiamiento!AA19-Financiamiento!AA22-'Valores de Inicio'!AA62-'Valores de Inicio'!AA63</f>
        <v>0</v>
      </c>
      <c r="AB28" s="265">
        <f>Financiamiento!AB18-Financiamiento!AB19-Financiamiento!AB22-'Valores de Inicio'!AB62-'Valores de Inicio'!AB63</f>
        <v>0</v>
      </c>
      <c r="AC28" s="265">
        <f>Financiamiento!AC18-Financiamiento!AC19-Financiamiento!AC22-'Valores de Inicio'!AC62-'Valores de Inicio'!AC63</f>
        <v>0</v>
      </c>
      <c r="AD28" s="265">
        <f>Financiamiento!AD18-Financiamiento!AD19-Financiamiento!AD22-'Valores de Inicio'!AD62-'Valores de Inicio'!AD63</f>
        <v>0</v>
      </c>
      <c r="AE28" s="145"/>
    </row>
    <row r="29" spans="1:31" s="14" customFormat="1" ht="15">
      <c r="A29" s="266" t="s">
        <v>192</v>
      </c>
      <c r="B29" s="267">
        <f aca="true" t="shared" si="8" ref="B29:AD29">B27+B28</f>
        <v>0</v>
      </c>
      <c r="C29" s="267">
        <f t="shared" si="8"/>
        <v>0</v>
      </c>
      <c r="D29" s="267">
        <f t="shared" si="8"/>
        <v>0</v>
      </c>
      <c r="E29" s="267">
        <f t="shared" si="8"/>
        <v>0</v>
      </c>
      <c r="F29" s="267">
        <f t="shared" si="8"/>
        <v>0</v>
      </c>
      <c r="G29" s="267">
        <f t="shared" si="8"/>
        <v>0</v>
      </c>
      <c r="H29" s="267">
        <f t="shared" si="8"/>
        <v>0</v>
      </c>
      <c r="I29" s="267">
        <f t="shared" si="8"/>
        <v>0</v>
      </c>
      <c r="J29" s="267">
        <f t="shared" si="8"/>
        <v>0</v>
      </c>
      <c r="K29" s="267">
        <f t="shared" si="8"/>
        <v>0</v>
      </c>
      <c r="L29" s="267">
        <f t="shared" si="8"/>
        <v>0</v>
      </c>
      <c r="M29" s="267">
        <f t="shared" si="8"/>
        <v>0</v>
      </c>
      <c r="N29" s="267">
        <f t="shared" si="8"/>
        <v>0</v>
      </c>
      <c r="O29" s="267">
        <f t="shared" si="8"/>
        <v>0</v>
      </c>
      <c r="P29" s="267">
        <f t="shared" si="8"/>
        <v>0</v>
      </c>
      <c r="Q29" s="267">
        <f t="shared" si="8"/>
        <v>0</v>
      </c>
      <c r="R29" s="267">
        <f t="shared" si="8"/>
        <v>0</v>
      </c>
      <c r="S29" s="267">
        <f t="shared" si="8"/>
        <v>0</v>
      </c>
      <c r="T29" s="267">
        <f t="shared" si="8"/>
        <v>0</v>
      </c>
      <c r="U29" s="267">
        <f t="shared" si="8"/>
        <v>0</v>
      </c>
      <c r="V29" s="267">
        <f t="shared" si="8"/>
        <v>0</v>
      </c>
      <c r="W29" s="267">
        <f t="shared" si="8"/>
        <v>0</v>
      </c>
      <c r="X29" s="267">
        <f t="shared" si="8"/>
        <v>0</v>
      </c>
      <c r="Y29" s="267">
        <f t="shared" si="8"/>
        <v>0</v>
      </c>
      <c r="Z29" s="267">
        <f t="shared" si="8"/>
        <v>0</v>
      </c>
      <c r="AA29" s="267">
        <f t="shared" si="8"/>
        <v>0</v>
      </c>
      <c r="AB29" s="267">
        <f t="shared" si="8"/>
        <v>0</v>
      </c>
      <c r="AC29" s="267">
        <f t="shared" si="8"/>
        <v>0</v>
      </c>
      <c r="AD29" s="267">
        <f t="shared" si="8"/>
        <v>0</v>
      </c>
      <c r="AE29" s="179"/>
    </row>
    <row r="30" spans="1:31" ht="15">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145"/>
    </row>
    <row r="31" spans="1:31" s="14" customFormat="1" ht="15">
      <c r="A31" s="266" t="s">
        <v>59</v>
      </c>
      <c r="B31" s="267">
        <f>Financiamiento!B26</f>
        <v>0</v>
      </c>
      <c r="C31" s="267">
        <f>Financiamiento!C26</f>
        <v>0</v>
      </c>
      <c r="D31" s="267">
        <f>Financiamiento!D26</f>
        <v>0</v>
      </c>
      <c r="E31" s="267">
        <f>Financiamiento!E26</f>
        <v>0</v>
      </c>
      <c r="F31" s="267">
        <f>Financiamiento!F26</f>
        <v>0</v>
      </c>
      <c r="G31" s="267">
        <f>Financiamiento!G26</f>
        <v>0</v>
      </c>
      <c r="H31" s="267">
        <f>Financiamiento!H26</f>
        <v>0</v>
      </c>
      <c r="I31" s="267">
        <f>Financiamiento!I26</f>
        <v>0</v>
      </c>
      <c r="J31" s="267">
        <f>Financiamiento!J26</f>
        <v>0</v>
      </c>
      <c r="K31" s="267">
        <f>Financiamiento!K26</f>
        <v>0</v>
      </c>
      <c r="L31" s="267">
        <f>Financiamiento!L26</f>
        <v>0</v>
      </c>
      <c r="M31" s="267">
        <f>Financiamiento!M26</f>
        <v>0</v>
      </c>
      <c r="N31" s="267">
        <f>Financiamiento!N26</f>
        <v>0</v>
      </c>
      <c r="O31" s="267">
        <f>Financiamiento!O26</f>
        <v>0</v>
      </c>
      <c r="P31" s="267">
        <f>Financiamiento!P26</f>
        <v>0</v>
      </c>
      <c r="Q31" s="267">
        <f>Financiamiento!Q26</f>
        <v>0</v>
      </c>
      <c r="R31" s="267">
        <f>Financiamiento!R26</f>
        <v>0</v>
      </c>
      <c r="S31" s="267">
        <f>Financiamiento!S26</f>
        <v>0</v>
      </c>
      <c r="T31" s="267">
        <f>Financiamiento!T26</f>
        <v>0</v>
      </c>
      <c r="U31" s="267">
        <f>Financiamiento!U26</f>
        <v>0</v>
      </c>
      <c r="V31" s="267">
        <f>Financiamiento!V26</f>
        <v>0</v>
      </c>
      <c r="W31" s="267">
        <f>Financiamiento!W26</f>
        <v>0</v>
      </c>
      <c r="X31" s="267">
        <f>Financiamiento!X26</f>
        <v>0</v>
      </c>
      <c r="Y31" s="267">
        <f>Financiamiento!Y26</f>
        <v>0</v>
      </c>
      <c r="Z31" s="267">
        <f>Financiamiento!Z26</f>
        <v>0</v>
      </c>
      <c r="AA31" s="267">
        <f>Financiamiento!AA26</f>
        <v>0</v>
      </c>
      <c r="AB31" s="267">
        <f>Financiamiento!AB26</f>
        <v>0</v>
      </c>
      <c r="AC31" s="267">
        <f>Financiamiento!AC26</f>
        <v>0</v>
      </c>
      <c r="AD31" s="267">
        <f>Financiamiento!AD26</f>
        <v>0</v>
      </c>
      <c r="AE31" s="179"/>
    </row>
    <row r="32" spans="1:31" ht="1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45"/>
    </row>
    <row r="33" spans="1:31" ht="15">
      <c r="A33" s="146" t="s">
        <v>224</v>
      </c>
      <c r="B33" s="146">
        <f aca="true" t="shared" si="9" ref="B33:AD33">B25+B29+B31</f>
        <v>30000</v>
      </c>
      <c r="C33" s="146">
        <f t="shared" si="9"/>
        <v>0</v>
      </c>
      <c r="D33" s="146">
        <f t="shared" si="9"/>
        <v>0</v>
      </c>
      <c r="E33" s="146">
        <f t="shared" si="9"/>
        <v>0</v>
      </c>
      <c r="F33" s="146">
        <f t="shared" si="9"/>
        <v>0</v>
      </c>
      <c r="G33" s="146">
        <f t="shared" si="9"/>
        <v>0</v>
      </c>
      <c r="H33" s="146">
        <f t="shared" si="9"/>
        <v>0</v>
      </c>
      <c r="I33" s="146">
        <f t="shared" si="9"/>
        <v>0</v>
      </c>
      <c r="J33" s="146">
        <f t="shared" si="9"/>
        <v>0</v>
      </c>
      <c r="K33" s="146">
        <f t="shared" si="9"/>
        <v>0</v>
      </c>
      <c r="L33" s="146">
        <f t="shared" si="9"/>
        <v>0</v>
      </c>
      <c r="M33" s="146">
        <f t="shared" si="9"/>
        <v>-2000</v>
      </c>
      <c r="N33" s="146">
        <f t="shared" si="9"/>
        <v>28000</v>
      </c>
      <c r="O33" s="146">
        <f t="shared" si="9"/>
        <v>5000</v>
      </c>
      <c r="P33" s="146">
        <f t="shared" si="9"/>
        <v>0</v>
      </c>
      <c r="Q33" s="146">
        <f t="shared" si="9"/>
        <v>0</v>
      </c>
      <c r="R33" s="146">
        <f t="shared" si="9"/>
        <v>0</v>
      </c>
      <c r="S33" s="146">
        <f t="shared" si="9"/>
        <v>0</v>
      </c>
      <c r="T33" s="146">
        <f t="shared" si="9"/>
        <v>0</v>
      </c>
      <c r="U33" s="146">
        <f t="shared" si="9"/>
        <v>0</v>
      </c>
      <c r="V33" s="146">
        <f t="shared" si="9"/>
        <v>0</v>
      </c>
      <c r="W33" s="146">
        <f t="shared" si="9"/>
        <v>0</v>
      </c>
      <c r="X33" s="146">
        <f t="shared" si="9"/>
        <v>0</v>
      </c>
      <c r="Y33" s="146">
        <f t="shared" si="9"/>
        <v>0</v>
      </c>
      <c r="Z33" s="146">
        <f t="shared" si="9"/>
        <v>-3000</v>
      </c>
      <c r="AA33" s="146">
        <f t="shared" si="9"/>
        <v>2000</v>
      </c>
      <c r="AB33" s="146">
        <f t="shared" si="9"/>
        <v>-5000</v>
      </c>
      <c r="AC33" s="146">
        <f t="shared" si="9"/>
        <v>-7000</v>
      </c>
      <c r="AD33" s="146">
        <f t="shared" si="9"/>
        <v>-9000</v>
      </c>
      <c r="AE33" s="145"/>
    </row>
    <row r="34" spans="1:31" ht="13.5" customHeight="1">
      <c r="A34" s="180"/>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row>
    <row r="35" spans="1:31" s="19" customFormat="1" ht="17.25">
      <c r="A35" s="174" t="s">
        <v>211</v>
      </c>
      <c r="B35" s="174">
        <f>B21+B33</f>
        <v>5125.652777777777</v>
      </c>
      <c r="C35" s="174">
        <f aca="true" t="shared" si="10" ref="C35:AD35">C21+C33</f>
        <v>625.6527777777778</v>
      </c>
      <c r="D35" s="174">
        <f t="shared" si="10"/>
        <v>625.6527777777778</v>
      </c>
      <c r="E35" s="174">
        <f t="shared" si="10"/>
        <v>625.6527777777778</v>
      </c>
      <c r="F35" s="174">
        <f t="shared" si="10"/>
        <v>625.6527777777778</v>
      </c>
      <c r="G35" s="174">
        <f t="shared" si="10"/>
        <v>625.6527777777778</v>
      </c>
      <c r="H35" s="174">
        <f t="shared" si="10"/>
        <v>625.6527777777778</v>
      </c>
      <c r="I35" s="174">
        <f t="shared" si="10"/>
        <v>625.6527777777778</v>
      </c>
      <c r="J35" s="174">
        <f t="shared" si="10"/>
        <v>625.6527777777778</v>
      </c>
      <c r="K35" s="174">
        <f t="shared" si="10"/>
        <v>625.6527777777778</v>
      </c>
      <c r="L35" s="174">
        <f t="shared" si="10"/>
        <v>625.6527777777778</v>
      </c>
      <c r="M35" s="174">
        <f t="shared" si="10"/>
        <v>-1374.3472222222222</v>
      </c>
      <c r="N35" s="174">
        <f t="shared" si="10"/>
        <v>10007.833333333336</v>
      </c>
      <c r="O35" s="174">
        <f t="shared" si="10"/>
        <v>-622.770833333333</v>
      </c>
      <c r="P35" s="174">
        <f t="shared" si="10"/>
        <v>1377.2291666666667</v>
      </c>
      <c r="Q35" s="174">
        <f t="shared" si="10"/>
        <v>1377.2291666666667</v>
      </c>
      <c r="R35" s="174">
        <f t="shared" si="10"/>
        <v>1377.2291666666667</v>
      </c>
      <c r="S35" s="174">
        <f t="shared" si="10"/>
        <v>1377.2291666666667</v>
      </c>
      <c r="T35" s="174">
        <f t="shared" si="10"/>
        <v>1377.2291666666667</v>
      </c>
      <c r="U35" s="174">
        <f t="shared" si="10"/>
        <v>1377.2291666666667</v>
      </c>
      <c r="V35" s="174">
        <f t="shared" si="10"/>
        <v>1377.2291666666667</v>
      </c>
      <c r="W35" s="174">
        <f t="shared" si="10"/>
        <v>1377.2291666666667</v>
      </c>
      <c r="X35" s="174">
        <f t="shared" si="10"/>
        <v>1377.2291666666667</v>
      </c>
      <c r="Y35" s="174">
        <f t="shared" si="10"/>
        <v>1377.2291666666667</v>
      </c>
      <c r="Z35" s="174">
        <f t="shared" si="10"/>
        <v>-1622.7708333333333</v>
      </c>
      <c r="AA35" s="174">
        <f t="shared" si="10"/>
        <v>11526.750000000004</v>
      </c>
      <c r="AB35" s="174">
        <f t="shared" si="10"/>
        <v>8012.75</v>
      </c>
      <c r="AC35" s="174">
        <f t="shared" si="10"/>
        <v>13603.550000000003</v>
      </c>
      <c r="AD35" s="174">
        <f t="shared" si="10"/>
        <v>18469.15000000002</v>
      </c>
      <c r="AE35" s="175"/>
    </row>
    <row r="36" spans="1:31" s="19" customFormat="1" ht="17.25">
      <c r="A36" s="174" t="s">
        <v>162</v>
      </c>
      <c r="B36" s="174">
        <f aca="true" t="shared" si="11" ref="B36:AD36">B3+B21+B33</f>
        <v>8625.652777777777</v>
      </c>
      <c r="C36" s="174">
        <f t="shared" si="11"/>
        <v>9251.305555555555</v>
      </c>
      <c r="D36" s="174">
        <f t="shared" si="11"/>
        <v>9876.958333333332</v>
      </c>
      <c r="E36" s="174">
        <f t="shared" si="11"/>
        <v>10502.61111111111</v>
      </c>
      <c r="F36" s="174">
        <f t="shared" si="11"/>
        <v>11128.263888888887</v>
      </c>
      <c r="G36" s="174">
        <f t="shared" si="11"/>
        <v>11753.916666666664</v>
      </c>
      <c r="H36" s="174">
        <f t="shared" si="11"/>
        <v>12379.569444444442</v>
      </c>
      <c r="I36" s="174">
        <f t="shared" si="11"/>
        <v>13005.222222222219</v>
      </c>
      <c r="J36" s="174">
        <f t="shared" si="11"/>
        <v>13630.874999999996</v>
      </c>
      <c r="K36" s="174">
        <f t="shared" si="11"/>
        <v>14256.527777777774</v>
      </c>
      <c r="L36" s="174">
        <f t="shared" si="11"/>
        <v>14882.180555555551</v>
      </c>
      <c r="M36" s="174">
        <f t="shared" si="11"/>
        <v>13507.833333333328</v>
      </c>
      <c r="N36" s="174">
        <f t="shared" si="11"/>
        <v>13507.833333333336</v>
      </c>
      <c r="O36" s="174">
        <f t="shared" si="11"/>
        <v>12885.062500000004</v>
      </c>
      <c r="P36" s="174">
        <f t="shared" si="11"/>
        <v>14262.29166666667</v>
      </c>
      <c r="Q36" s="174">
        <f t="shared" si="11"/>
        <v>15639.520833333336</v>
      </c>
      <c r="R36" s="174">
        <f t="shared" si="11"/>
        <v>17016.750000000004</v>
      </c>
      <c r="S36" s="174">
        <f t="shared" si="11"/>
        <v>18393.97916666667</v>
      </c>
      <c r="T36" s="174">
        <f t="shared" si="11"/>
        <v>19771.20833333334</v>
      </c>
      <c r="U36" s="174">
        <f t="shared" si="11"/>
        <v>21148.437500000007</v>
      </c>
      <c r="V36" s="174">
        <f t="shared" si="11"/>
        <v>22525.666666666675</v>
      </c>
      <c r="W36" s="174">
        <f t="shared" si="11"/>
        <v>23902.895833333343</v>
      </c>
      <c r="X36" s="174">
        <f t="shared" si="11"/>
        <v>25280.12500000001</v>
      </c>
      <c r="Y36" s="174">
        <f t="shared" si="11"/>
        <v>26657.35416666668</v>
      </c>
      <c r="Z36" s="174">
        <f t="shared" si="11"/>
        <v>25034.583333333347</v>
      </c>
      <c r="AA36" s="174">
        <f t="shared" si="11"/>
        <v>25034.58333333334</v>
      </c>
      <c r="AB36" s="174">
        <f t="shared" si="11"/>
        <v>33047.33333333334</v>
      </c>
      <c r="AC36" s="174">
        <f t="shared" si="11"/>
        <v>46650.883333333346</v>
      </c>
      <c r="AD36" s="174">
        <f t="shared" si="11"/>
        <v>65120.03333333337</v>
      </c>
      <c r="AE36" s="175"/>
    </row>
    <row r="37" spans="1:31" ht="13.5" customHeight="1">
      <c r="A37" s="18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row>
    <row r="38" spans="1:31" ht="12.75">
      <c r="A38" s="180"/>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row>
    <row r="39" s="96" customFormat="1" ht="12.75">
      <c r="B39" s="17"/>
    </row>
    <row r="40" spans="1:30" ht="12.75" hidden="1">
      <c r="A40" s="25" t="s">
        <v>159</v>
      </c>
      <c r="B40" s="71">
        <f>B21</f>
        <v>-24874.347222222223</v>
      </c>
      <c r="C40" s="71">
        <f aca="true" t="shared" si="12" ref="C40:M40">C21+B40</f>
        <v>-24248.694444444445</v>
      </c>
      <c r="D40" s="71">
        <f t="shared" si="12"/>
        <v>-23623.041666666668</v>
      </c>
      <c r="E40" s="71">
        <f t="shared" si="12"/>
        <v>-22997.38888888889</v>
      </c>
      <c r="F40" s="71">
        <f t="shared" si="12"/>
        <v>-22371.736111111113</v>
      </c>
      <c r="G40" s="71">
        <f t="shared" si="12"/>
        <v>-21746.083333333336</v>
      </c>
      <c r="H40" s="71">
        <f t="shared" si="12"/>
        <v>-21120.43055555556</v>
      </c>
      <c r="I40" s="71">
        <f t="shared" si="12"/>
        <v>-20494.77777777778</v>
      </c>
      <c r="J40" s="71">
        <f t="shared" si="12"/>
        <v>-19869.125000000004</v>
      </c>
      <c r="K40" s="71">
        <f t="shared" si="12"/>
        <v>-19243.472222222226</v>
      </c>
      <c r="L40" s="71">
        <f t="shared" si="12"/>
        <v>-18617.81944444445</v>
      </c>
      <c r="M40" s="71">
        <f t="shared" si="12"/>
        <v>-17992.16666666667</v>
      </c>
      <c r="N40" s="71">
        <f>M40</f>
        <v>-17992.16666666667</v>
      </c>
      <c r="O40" s="71">
        <f>O21+M40</f>
        <v>-23614.937500000004</v>
      </c>
      <c r="P40" s="71">
        <f aca="true" t="shared" si="13" ref="P40:Z40">P21+O40</f>
        <v>-22237.708333333336</v>
      </c>
      <c r="Q40" s="71">
        <f t="shared" si="13"/>
        <v>-20860.479166666668</v>
      </c>
      <c r="R40" s="71">
        <f t="shared" si="13"/>
        <v>-19483.25</v>
      </c>
      <c r="S40" s="71">
        <f t="shared" si="13"/>
        <v>-18106.020833333332</v>
      </c>
      <c r="T40" s="71">
        <f t="shared" si="13"/>
        <v>-16728.791666666664</v>
      </c>
      <c r="U40" s="71">
        <f t="shared" si="13"/>
        <v>-15351.562499999998</v>
      </c>
      <c r="V40" s="71">
        <f t="shared" si="13"/>
        <v>-13974.333333333332</v>
      </c>
      <c r="W40" s="71">
        <f t="shared" si="13"/>
        <v>-12597.104166666666</v>
      </c>
      <c r="X40" s="71">
        <f t="shared" si="13"/>
        <v>-11219.875</v>
      </c>
      <c r="Y40" s="71">
        <f t="shared" si="13"/>
        <v>-9842.645833333334</v>
      </c>
      <c r="Z40" s="71">
        <f t="shared" si="13"/>
        <v>-8465.416666666668</v>
      </c>
      <c r="AA40" s="71">
        <f>Z40</f>
        <v>-8465.416666666668</v>
      </c>
      <c r="AB40" s="71">
        <f>AB21+Z40</f>
        <v>4547.333333333332</v>
      </c>
      <c r="AC40" s="71">
        <f>AC21+AB40</f>
        <v>25150.883333333335</v>
      </c>
      <c r="AD40" s="71">
        <f>AD21+AC40</f>
        <v>52620.033333333355</v>
      </c>
    </row>
    <row r="41" spans="1:30" ht="12.75" hidden="1">
      <c r="A41" s="25" t="s">
        <v>89</v>
      </c>
      <c r="B41" s="4">
        <f aca="true" t="shared" si="14" ref="B41:M41">IF(B40&lt;0,1,0)</f>
        <v>1</v>
      </c>
      <c r="C41" s="4">
        <f t="shared" si="14"/>
        <v>1</v>
      </c>
      <c r="D41" s="4">
        <f t="shared" si="14"/>
        <v>1</v>
      </c>
      <c r="E41" s="4">
        <f t="shared" si="14"/>
        <v>1</v>
      </c>
      <c r="F41" s="4">
        <f t="shared" si="14"/>
        <v>1</v>
      </c>
      <c r="G41" s="4">
        <f t="shared" si="14"/>
        <v>1</v>
      </c>
      <c r="H41" s="4">
        <f t="shared" si="14"/>
        <v>1</v>
      </c>
      <c r="I41" s="4">
        <f t="shared" si="14"/>
        <v>1</v>
      </c>
      <c r="J41" s="4">
        <f t="shared" si="14"/>
        <v>1</v>
      </c>
      <c r="K41" s="4">
        <f t="shared" si="14"/>
        <v>1</v>
      </c>
      <c r="L41" s="4">
        <f t="shared" si="14"/>
        <v>1</v>
      </c>
      <c r="M41" s="4">
        <f t="shared" si="14"/>
        <v>1</v>
      </c>
      <c r="N41" s="4"/>
      <c r="O41" s="4">
        <f aca="true" t="shared" si="15" ref="O41:Z41">IF(O40&lt;0,1,0)</f>
        <v>1</v>
      </c>
      <c r="P41" s="4">
        <f t="shared" si="15"/>
        <v>1</v>
      </c>
      <c r="Q41" s="4">
        <f t="shared" si="15"/>
        <v>1</v>
      </c>
      <c r="R41" s="4">
        <f t="shared" si="15"/>
        <v>1</v>
      </c>
      <c r="S41" s="4">
        <f t="shared" si="15"/>
        <v>1</v>
      </c>
      <c r="T41" s="4">
        <f t="shared" si="15"/>
        <v>1</v>
      </c>
      <c r="U41" s="4">
        <f t="shared" si="15"/>
        <v>1</v>
      </c>
      <c r="V41" s="4">
        <f t="shared" si="15"/>
        <v>1</v>
      </c>
      <c r="W41" s="4">
        <f t="shared" si="15"/>
        <v>1</v>
      </c>
      <c r="X41" s="4">
        <f t="shared" si="15"/>
        <v>1</v>
      </c>
      <c r="Y41" s="4">
        <f t="shared" si="15"/>
        <v>1</v>
      </c>
      <c r="Z41" s="4">
        <f t="shared" si="15"/>
        <v>1</v>
      </c>
      <c r="AA41" s="4"/>
      <c r="AB41" s="4">
        <f>IF(AB40&lt;0,12,0)</f>
        <v>0</v>
      </c>
      <c r="AC41" s="4">
        <f>IF(AC40&lt;0,12,0)</f>
        <v>0</v>
      </c>
      <c r="AD41" s="4">
        <f>IF(AD40&lt;0,12,0)</f>
        <v>0</v>
      </c>
    </row>
  </sheetData>
  <sheetProtection/>
  <printOptions/>
  <pageMargins left="0.7" right="0.7" top="0.75" bottom="0.75" header="0.3" footer="0.3"/>
  <pageSetup horizontalDpi="600" verticalDpi="600" orientation="portrait"/>
  <legacyDrawing r:id="rId2"/>
</worksheet>
</file>

<file path=xl/worksheets/sheet16.xml><?xml version="1.0" encoding="utf-8"?>
<worksheet xmlns="http://schemas.openxmlformats.org/spreadsheetml/2006/main" xmlns:r="http://schemas.openxmlformats.org/officeDocument/2006/relationships">
  <dimension ref="A1:AF21"/>
  <sheetViews>
    <sheetView showGridLines="0" zoomScalePageLayoutView="0" workbookViewId="0" topLeftCell="A1">
      <pane xSplit="1" ySplit="1" topLeftCell="B2" activePane="bottomRight" state="frozen"/>
      <selection pane="topLeft" activeCell="G19" sqref="G19"/>
      <selection pane="topRight" activeCell="G19" sqref="G19"/>
      <selection pane="bottomLeft" activeCell="G19" sqref="G19"/>
      <selection pane="bottomRight" activeCell="N22" sqref="N22"/>
    </sheetView>
  </sheetViews>
  <sheetFormatPr defaultColWidth="11.7109375" defaultRowHeight="12.75" outlineLevelCol="1"/>
  <cols>
    <col min="1" max="1" width="42.8515625" style="132"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s>
  <sheetData>
    <row r="1" spans="1:31" ht="15.75" customHeight="1">
      <c r="A1" s="141" t="str">
        <f>"ESTADO DE RESULTADOS ("&amp;Introducción!E17&amp;")"</f>
        <v>ESTADO DE RESULTADOS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44"/>
    </row>
    <row r="2" spans="1:31" ht="12.75">
      <c r="A2" s="178"/>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ht="15">
      <c r="A3" s="248" t="s">
        <v>46</v>
      </c>
      <c r="B3" s="248">
        <f>Ingresos!B7</f>
        <v>14000</v>
      </c>
      <c r="C3" s="248">
        <f>Ingresos!C7</f>
        <v>14000</v>
      </c>
      <c r="D3" s="248">
        <f>Ingresos!D7</f>
        <v>14000</v>
      </c>
      <c r="E3" s="248">
        <f>Ingresos!E7</f>
        <v>14000</v>
      </c>
      <c r="F3" s="248">
        <f>Ingresos!F7</f>
        <v>14000</v>
      </c>
      <c r="G3" s="248">
        <f>Ingresos!G7</f>
        <v>14000</v>
      </c>
      <c r="H3" s="248">
        <f>Ingresos!H7</f>
        <v>14000</v>
      </c>
      <c r="I3" s="248">
        <f>Ingresos!I7</f>
        <v>14000</v>
      </c>
      <c r="J3" s="248">
        <f>Ingresos!J7</f>
        <v>14000</v>
      </c>
      <c r="K3" s="248">
        <f>Ingresos!K7</f>
        <v>14000</v>
      </c>
      <c r="L3" s="248">
        <f>Ingresos!L7</f>
        <v>14000</v>
      </c>
      <c r="M3" s="248">
        <f>Ingresos!M7</f>
        <v>14000</v>
      </c>
      <c r="N3" s="248">
        <f>Ingresos!N7</f>
        <v>168000</v>
      </c>
      <c r="O3" s="248">
        <f>Ingresos!O7</f>
        <v>18750</v>
      </c>
      <c r="P3" s="248">
        <f>Ingresos!P7</f>
        <v>18750</v>
      </c>
      <c r="Q3" s="248">
        <f>Ingresos!Q7</f>
        <v>18750</v>
      </c>
      <c r="R3" s="248">
        <f>Ingresos!R7</f>
        <v>18750</v>
      </c>
      <c r="S3" s="248">
        <f>Ingresos!S7</f>
        <v>18750</v>
      </c>
      <c r="T3" s="248">
        <f>Ingresos!T7</f>
        <v>18750</v>
      </c>
      <c r="U3" s="248">
        <f>Ingresos!U7</f>
        <v>18750</v>
      </c>
      <c r="V3" s="248">
        <f>Ingresos!V7</f>
        <v>18750</v>
      </c>
      <c r="W3" s="248">
        <f>Ingresos!W7</f>
        <v>18750</v>
      </c>
      <c r="X3" s="248">
        <f>Ingresos!X7</f>
        <v>18750</v>
      </c>
      <c r="Y3" s="248">
        <f>Ingresos!Y7</f>
        <v>18750</v>
      </c>
      <c r="Z3" s="248">
        <f>Ingresos!Z7</f>
        <v>18750</v>
      </c>
      <c r="AA3" s="248">
        <f>Ingresos!AA7</f>
        <v>225000</v>
      </c>
      <c r="AB3" s="248">
        <f>Ingresos!AB7</f>
        <v>248220</v>
      </c>
      <c r="AC3" s="248">
        <f>Ingresos!AC7</f>
        <v>289450</v>
      </c>
      <c r="AD3" s="248">
        <f>Ingresos!AD7</f>
        <v>364560</v>
      </c>
      <c r="AE3" s="145"/>
    </row>
    <row r="4" spans="1:31" ht="15">
      <c r="A4" s="248" t="s">
        <v>188</v>
      </c>
      <c r="B4" s="248">
        <f>-'Costo de Ventas'!B11</f>
        <v>-10000</v>
      </c>
      <c r="C4" s="248">
        <f>-'Costo de Ventas'!C11</f>
        <v>-10000</v>
      </c>
      <c r="D4" s="248">
        <f>-'Costo de Ventas'!D11</f>
        <v>-10000</v>
      </c>
      <c r="E4" s="248">
        <f>-'Costo de Ventas'!E11</f>
        <v>-10000</v>
      </c>
      <c r="F4" s="248">
        <f>-'Costo de Ventas'!F11</f>
        <v>-10000</v>
      </c>
      <c r="G4" s="248">
        <f>-'Costo de Ventas'!G11</f>
        <v>-10000</v>
      </c>
      <c r="H4" s="248">
        <f>-'Costo de Ventas'!H11</f>
        <v>-10000</v>
      </c>
      <c r="I4" s="248">
        <f>-'Costo de Ventas'!I11</f>
        <v>-10000</v>
      </c>
      <c r="J4" s="248">
        <f>-'Costo de Ventas'!J11</f>
        <v>-10000</v>
      </c>
      <c r="K4" s="248">
        <f>-'Costo de Ventas'!K11</f>
        <v>-10000</v>
      </c>
      <c r="L4" s="248">
        <f>-'Costo de Ventas'!L11</f>
        <v>-10000</v>
      </c>
      <c r="M4" s="248">
        <f>-'Costo de Ventas'!M11</f>
        <v>-10000</v>
      </c>
      <c r="N4" s="248">
        <f>-'Costo de Ventas'!N11</f>
        <v>-120000</v>
      </c>
      <c r="O4" s="248">
        <f>-'Costo de Ventas'!O11</f>
        <v>-13500</v>
      </c>
      <c r="P4" s="248">
        <f>-'Costo de Ventas'!P11</f>
        <v>-13500</v>
      </c>
      <c r="Q4" s="248">
        <f>-'Costo de Ventas'!Q11</f>
        <v>-13500</v>
      </c>
      <c r="R4" s="248">
        <f>-'Costo de Ventas'!R11</f>
        <v>-13500</v>
      </c>
      <c r="S4" s="248">
        <f>-'Costo de Ventas'!S11</f>
        <v>-13500</v>
      </c>
      <c r="T4" s="248">
        <f>-'Costo de Ventas'!T11</f>
        <v>-13500</v>
      </c>
      <c r="U4" s="248">
        <f>-'Costo de Ventas'!U11</f>
        <v>-13500</v>
      </c>
      <c r="V4" s="248">
        <f>-'Costo de Ventas'!V11</f>
        <v>-13500</v>
      </c>
      <c r="W4" s="248">
        <f>-'Costo de Ventas'!W11</f>
        <v>-13500</v>
      </c>
      <c r="X4" s="248">
        <f>-'Costo de Ventas'!X11</f>
        <v>-13500</v>
      </c>
      <c r="Y4" s="248">
        <f>-'Costo de Ventas'!Y11</f>
        <v>-13500</v>
      </c>
      <c r="Z4" s="248">
        <f>-'Costo de Ventas'!Z11</f>
        <v>-13500</v>
      </c>
      <c r="AA4" s="248">
        <f>-'Costo de Ventas'!AA11</f>
        <v>-162000</v>
      </c>
      <c r="AB4" s="248">
        <f>-'Costo de Ventas'!AB11</f>
        <v>-178290</v>
      </c>
      <c r="AC4" s="248">
        <f>-'Costo de Ventas'!AC11</f>
        <v>-207200</v>
      </c>
      <c r="AD4" s="248">
        <f>-'Costo de Ventas'!AD11</f>
        <v>-259979.99999999997</v>
      </c>
      <c r="AE4" s="145"/>
    </row>
    <row r="5" spans="1:31" ht="15">
      <c r="A5" s="146" t="s">
        <v>136</v>
      </c>
      <c r="B5" s="146">
        <f aca="true" t="shared" si="2" ref="B5:M5">B3+B4</f>
        <v>4000</v>
      </c>
      <c r="C5" s="146">
        <f t="shared" si="2"/>
        <v>4000</v>
      </c>
      <c r="D5" s="146">
        <f t="shared" si="2"/>
        <v>4000</v>
      </c>
      <c r="E5" s="146">
        <f t="shared" si="2"/>
        <v>4000</v>
      </c>
      <c r="F5" s="146">
        <f t="shared" si="2"/>
        <v>4000</v>
      </c>
      <c r="G5" s="146">
        <f t="shared" si="2"/>
        <v>4000</v>
      </c>
      <c r="H5" s="146">
        <f t="shared" si="2"/>
        <v>4000</v>
      </c>
      <c r="I5" s="146">
        <f t="shared" si="2"/>
        <v>4000</v>
      </c>
      <c r="J5" s="146">
        <f t="shared" si="2"/>
        <v>4000</v>
      </c>
      <c r="K5" s="146">
        <f t="shared" si="2"/>
        <v>4000</v>
      </c>
      <c r="L5" s="146">
        <f t="shared" si="2"/>
        <v>4000</v>
      </c>
      <c r="M5" s="146">
        <f t="shared" si="2"/>
        <v>4000</v>
      </c>
      <c r="N5" s="146">
        <f>SUM(B5:M5)</f>
        <v>48000</v>
      </c>
      <c r="O5" s="146">
        <f aca="true" t="shared" si="3" ref="O5:Z5">O3+O4</f>
        <v>5250</v>
      </c>
      <c r="P5" s="146">
        <f t="shared" si="3"/>
        <v>5250</v>
      </c>
      <c r="Q5" s="146">
        <f t="shared" si="3"/>
        <v>5250</v>
      </c>
      <c r="R5" s="146">
        <f t="shared" si="3"/>
        <v>5250</v>
      </c>
      <c r="S5" s="146">
        <f t="shared" si="3"/>
        <v>5250</v>
      </c>
      <c r="T5" s="146">
        <f t="shared" si="3"/>
        <v>5250</v>
      </c>
      <c r="U5" s="146">
        <f t="shared" si="3"/>
        <v>5250</v>
      </c>
      <c r="V5" s="146">
        <f t="shared" si="3"/>
        <v>5250</v>
      </c>
      <c r="W5" s="146">
        <f t="shared" si="3"/>
        <v>5250</v>
      </c>
      <c r="X5" s="146">
        <f t="shared" si="3"/>
        <v>5250</v>
      </c>
      <c r="Y5" s="146">
        <f t="shared" si="3"/>
        <v>5250</v>
      </c>
      <c r="Z5" s="146">
        <f t="shared" si="3"/>
        <v>5250</v>
      </c>
      <c r="AA5" s="146">
        <f>SUM(O5:Z5)</f>
        <v>63000</v>
      </c>
      <c r="AB5" s="146">
        <f>AB3+AB4</f>
        <v>69930</v>
      </c>
      <c r="AC5" s="146">
        <f>AC3+AC4</f>
        <v>82250</v>
      </c>
      <c r="AD5" s="146">
        <f>AD3+AD4</f>
        <v>104580.00000000003</v>
      </c>
      <c r="AE5" s="145"/>
    </row>
    <row r="6" spans="1:31" ht="15">
      <c r="A6" s="237"/>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145"/>
    </row>
    <row r="7" spans="1:31" ht="15">
      <c r="A7" s="265" t="s">
        <v>154</v>
      </c>
      <c r="B7" s="248">
        <f>-Salarios!B22</f>
        <v>-2500</v>
      </c>
      <c r="C7" s="248">
        <f>-Salarios!C22</f>
        <v>-2500</v>
      </c>
      <c r="D7" s="248">
        <f>-Salarios!D22</f>
        <v>-2500</v>
      </c>
      <c r="E7" s="248">
        <f>-Salarios!E22</f>
        <v>-2500</v>
      </c>
      <c r="F7" s="248">
        <f>-Salarios!F22</f>
        <v>-2500</v>
      </c>
      <c r="G7" s="248">
        <f>-Salarios!G22</f>
        <v>-2500</v>
      </c>
      <c r="H7" s="248">
        <f>-Salarios!H22</f>
        <v>-2500</v>
      </c>
      <c r="I7" s="248">
        <f>-Salarios!I22</f>
        <v>-2500</v>
      </c>
      <c r="J7" s="248">
        <f>-Salarios!J22</f>
        <v>-2500</v>
      </c>
      <c r="K7" s="248">
        <f>-Salarios!K22</f>
        <v>-2500</v>
      </c>
      <c r="L7" s="248">
        <f>-Salarios!L22</f>
        <v>-2500</v>
      </c>
      <c r="M7" s="248">
        <f>-Salarios!M22</f>
        <v>-2500</v>
      </c>
      <c r="N7" s="248">
        <f>SUM(B7:M7)</f>
        <v>-30000</v>
      </c>
      <c r="O7" s="248">
        <f>-Salarios!O22</f>
        <v>-2550</v>
      </c>
      <c r="P7" s="248">
        <f>-Salarios!P22</f>
        <v>-2550</v>
      </c>
      <c r="Q7" s="248">
        <f>-Salarios!Q22</f>
        <v>-2550</v>
      </c>
      <c r="R7" s="248">
        <f>-Salarios!R22</f>
        <v>-2550</v>
      </c>
      <c r="S7" s="248">
        <f>-Salarios!S22</f>
        <v>-2550</v>
      </c>
      <c r="T7" s="248">
        <f>-Salarios!T22</f>
        <v>-2550</v>
      </c>
      <c r="U7" s="248">
        <f>-Salarios!U22</f>
        <v>-2550</v>
      </c>
      <c r="V7" s="248">
        <f>-Salarios!V22</f>
        <v>-2550</v>
      </c>
      <c r="W7" s="248">
        <f>-Salarios!W22</f>
        <v>-2550</v>
      </c>
      <c r="X7" s="248">
        <f>-Salarios!X22</f>
        <v>-2550</v>
      </c>
      <c r="Y7" s="248">
        <f>-Salarios!Y22</f>
        <v>-2550</v>
      </c>
      <c r="Z7" s="248">
        <f>-Salarios!Z22</f>
        <v>-2550</v>
      </c>
      <c r="AA7" s="248">
        <f>SUM(O7:Z7)</f>
        <v>-30600</v>
      </c>
      <c r="AB7" s="248">
        <f>-Salarios!AB22</f>
        <v>-32130</v>
      </c>
      <c r="AC7" s="248">
        <f>-Salarios!AC22</f>
        <v>-42998</v>
      </c>
      <c r="AD7" s="248">
        <f>-Salarios!AD22</f>
        <v>-54872</v>
      </c>
      <c r="AE7" s="145"/>
    </row>
    <row r="8" spans="1:31" ht="15">
      <c r="A8" s="265" t="s">
        <v>53</v>
      </c>
      <c r="B8" s="248">
        <f>-'Gastos Fijos'!B10</f>
        <v>-750</v>
      </c>
      <c r="C8" s="248">
        <f>-'Gastos Fijos'!C10</f>
        <v>-750</v>
      </c>
      <c r="D8" s="248">
        <f>-'Gastos Fijos'!D10</f>
        <v>-750</v>
      </c>
      <c r="E8" s="248">
        <f>-'Gastos Fijos'!E10</f>
        <v>-750</v>
      </c>
      <c r="F8" s="248">
        <f>-'Gastos Fijos'!F10</f>
        <v>-750</v>
      </c>
      <c r="G8" s="248">
        <f>-'Gastos Fijos'!G10</f>
        <v>-750</v>
      </c>
      <c r="H8" s="248">
        <f>-'Gastos Fijos'!H10</f>
        <v>-750</v>
      </c>
      <c r="I8" s="248">
        <f>-'Gastos Fijos'!I10</f>
        <v>-750</v>
      </c>
      <c r="J8" s="248">
        <f>-'Gastos Fijos'!J10</f>
        <v>-750</v>
      </c>
      <c r="K8" s="248">
        <f>-'Gastos Fijos'!K10</f>
        <v>-750</v>
      </c>
      <c r="L8" s="248">
        <f>-'Gastos Fijos'!L10</f>
        <v>-750</v>
      </c>
      <c r="M8" s="248">
        <f>-'Gastos Fijos'!M10</f>
        <v>-750</v>
      </c>
      <c r="N8" s="248">
        <f>SUM(B8:M8)</f>
        <v>-9000</v>
      </c>
      <c r="O8" s="248">
        <f>-'Gastos Fijos'!O10</f>
        <v>-800</v>
      </c>
      <c r="P8" s="248">
        <f>-'Gastos Fijos'!P10</f>
        <v>-800</v>
      </c>
      <c r="Q8" s="248">
        <f>-'Gastos Fijos'!Q10</f>
        <v>-800</v>
      </c>
      <c r="R8" s="248">
        <f>-'Gastos Fijos'!R10</f>
        <v>-800</v>
      </c>
      <c r="S8" s="248">
        <f>-'Gastos Fijos'!S10</f>
        <v>-800</v>
      </c>
      <c r="T8" s="248">
        <f>-'Gastos Fijos'!T10</f>
        <v>-800</v>
      </c>
      <c r="U8" s="248">
        <f>-'Gastos Fijos'!U10</f>
        <v>-800</v>
      </c>
      <c r="V8" s="248">
        <f>-'Gastos Fijos'!V10</f>
        <v>-800</v>
      </c>
      <c r="W8" s="248">
        <f>-'Gastos Fijos'!W10</f>
        <v>-800</v>
      </c>
      <c r="X8" s="248">
        <f>-'Gastos Fijos'!X10</f>
        <v>-800</v>
      </c>
      <c r="Y8" s="248">
        <f>-'Gastos Fijos'!Y10</f>
        <v>-800</v>
      </c>
      <c r="Z8" s="248">
        <f>-'Gastos Fijos'!Z10</f>
        <v>-800</v>
      </c>
      <c r="AA8" s="248">
        <f>SUM(O8:Z8)</f>
        <v>-9600</v>
      </c>
      <c r="AB8" s="248">
        <f>-'Gastos Fijos'!AB10</f>
        <v>-10170</v>
      </c>
      <c r="AC8" s="248">
        <f>-'Gastos Fijos'!AC10</f>
        <v>-10778</v>
      </c>
      <c r="AD8" s="248">
        <f>-'Gastos Fijos'!AD10</f>
        <v>-11426</v>
      </c>
      <c r="AE8" s="145"/>
    </row>
    <row r="9" spans="1:31" ht="15">
      <c r="A9" s="250" t="s">
        <v>164</v>
      </c>
      <c r="B9" s="250">
        <f aca="true" t="shared" si="4" ref="B9:M9">SUM(B7:B8)</f>
        <v>-3250</v>
      </c>
      <c r="C9" s="250">
        <f t="shared" si="4"/>
        <v>-3250</v>
      </c>
      <c r="D9" s="250">
        <f t="shared" si="4"/>
        <v>-3250</v>
      </c>
      <c r="E9" s="250">
        <f t="shared" si="4"/>
        <v>-3250</v>
      </c>
      <c r="F9" s="250">
        <f t="shared" si="4"/>
        <v>-3250</v>
      </c>
      <c r="G9" s="250">
        <f t="shared" si="4"/>
        <v>-3250</v>
      </c>
      <c r="H9" s="250">
        <f t="shared" si="4"/>
        <v>-3250</v>
      </c>
      <c r="I9" s="250">
        <f t="shared" si="4"/>
        <v>-3250</v>
      </c>
      <c r="J9" s="250">
        <f t="shared" si="4"/>
        <v>-3250</v>
      </c>
      <c r="K9" s="250">
        <f t="shared" si="4"/>
        <v>-3250</v>
      </c>
      <c r="L9" s="250">
        <f t="shared" si="4"/>
        <v>-3250</v>
      </c>
      <c r="M9" s="250">
        <f t="shared" si="4"/>
        <v>-3250</v>
      </c>
      <c r="N9" s="250">
        <f>SUM(B9:M9)</f>
        <v>-39000</v>
      </c>
      <c r="O9" s="250">
        <f aca="true" t="shared" si="5" ref="O9:Z9">SUM(O7:O8)</f>
        <v>-3350</v>
      </c>
      <c r="P9" s="250">
        <f t="shared" si="5"/>
        <v>-3350</v>
      </c>
      <c r="Q9" s="250">
        <f t="shared" si="5"/>
        <v>-3350</v>
      </c>
      <c r="R9" s="250">
        <f t="shared" si="5"/>
        <v>-3350</v>
      </c>
      <c r="S9" s="250">
        <f t="shared" si="5"/>
        <v>-3350</v>
      </c>
      <c r="T9" s="250">
        <f t="shared" si="5"/>
        <v>-3350</v>
      </c>
      <c r="U9" s="250">
        <f t="shared" si="5"/>
        <v>-3350</v>
      </c>
      <c r="V9" s="250">
        <f t="shared" si="5"/>
        <v>-3350</v>
      </c>
      <c r="W9" s="250">
        <f t="shared" si="5"/>
        <v>-3350</v>
      </c>
      <c r="X9" s="250">
        <f t="shared" si="5"/>
        <v>-3350</v>
      </c>
      <c r="Y9" s="250">
        <f t="shared" si="5"/>
        <v>-3350</v>
      </c>
      <c r="Z9" s="250">
        <f t="shared" si="5"/>
        <v>-3350</v>
      </c>
      <c r="AA9" s="250">
        <f>SUM(O9:Z9)</f>
        <v>-40200</v>
      </c>
      <c r="AB9" s="250">
        <f>SUM(AB7:AB8)</f>
        <v>-42300</v>
      </c>
      <c r="AC9" s="250">
        <f>SUM(AC7:AC8)</f>
        <v>-53776</v>
      </c>
      <c r="AD9" s="250">
        <f>SUM(AD7:AD8)</f>
        <v>-66298</v>
      </c>
      <c r="AE9" s="145"/>
    </row>
    <row r="10" spans="1:31" ht="15">
      <c r="A10" s="146" t="s">
        <v>198</v>
      </c>
      <c r="B10" s="146">
        <f aca="true" t="shared" si="6" ref="B10:M10">B5+B9</f>
        <v>750</v>
      </c>
      <c r="C10" s="146">
        <f t="shared" si="6"/>
        <v>750</v>
      </c>
      <c r="D10" s="146">
        <f t="shared" si="6"/>
        <v>750</v>
      </c>
      <c r="E10" s="146">
        <f t="shared" si="6"/>
        <v>750</v>
      </c>
      <c r="F10" s="146">
        <f t="shared" si="6"/>
        <v>750</v>
      </c>
      <c r="G10" s="146">
        <f t="shared" si="6"/>
        <v>750</v>
      </c>
      <c r="H10" s="146">
        <f t="shared" si="6"/>
        <v>750</v>
      </c>
      <c r="I10" s="146">
        <f t="shared" si="6"/>
        <v>750</v>
      </c>
      <c r="J10" s="146">
        <f t="shared" si="6"/>
        <v>750</v>
      </c>
      <c r="K10" s="146">
        <f t="shared" si="6"/>
        <v>750</v>
      </c>
      <c r="L10" s="146">
        <f t="shared" si="6"/>
        <v>750</v>
      </c>
      <c r="M10" s="146">
        <f t="shared" si="6"/>
        <v>750</v>
      </c>
      <c r="N10" s="146">
        <f>SUM(B10:M10)</f>
        <v>9000</v>
      </c>
      <c r="O10" s="146">
        <f aca="true" t="shared" si="7" ref="O10:Z10">O5+O9</f>
        <v>1900</v>
      </c>
      <c r="P10" s="146">
        <f t="shared" si="7"/>
        <v>1900</v>
      </c>
      <c r="Q10" s="146">
        <f t="shared" si="7"/>
        <v>1900</v>
      </c>
      <c r="R10" s="146">
        <f t="shared" si="7"/>
        <v>1900</v>
      </c>
      <c r="S10" s="146">
        <f t="shared" si="7"/>
        <v>1900</v>
      </c>
      <c r="T10" s="146">
        <f t="shared" si="7"/>
        <v>1900</v>
      </c>
      <c r="U10" s="146">
        <f t="shared" si="7"/>
        <v>1900</v>
      </c>
      <c r="V10" s="146">
        <f t="shared" si="7"/>
        <v>1900</v>
      </c>
      <c r="W10" s="146">
        <f t="shared" si="7"/>
        <v>1900</v>
      </c>
      <c r="X10" s="146">
        <f t="shared" si="7"/>
        <v>1900</v>
      </c>
      <c r="Y10" s="146">
        <f t="shared" si="7"/>
        <v>1900</v>
      </c>
      <c r="Z10" s="146">
        <f t="shared" si="7"/>
        <v>1900</v>
      </c>
      <c r="AA10" s="146">
        <f>SUM(O10:Z10)</f>
        <v>22800</v>
      </c>
      <c r="AB10" s="146">
        <f>AB5+AB9</f>
        <v>27630</v>
      </c>
      <c r="AC10" s="146">
        <f>AC5+AC9</f>
        <v>28474</v>
      </c>
      <c r="AD10" s="146">
        <f>AD5+AD9</f>
        <v>38282.00000000003</v>
      </c>
      <c r="AE10" s="145"/>
    </row>
    <row r="11" spans="1:31" ht="15">
      <c r="A11" s="237"/>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145"/>
    </row>
    <row r="12" spans="1:31" ht="15">
      <c r="A12" s="248" t="s">
        <v>48</v>
      </c>
      <c r="B12" s="248">
        <f>-'Valores de Inicio'!B43-Inversiones!B24</f>
        <v>-128.26388888888889</v>
      </c>
      <c r="C12" s="248">
        <f>-'Valores de Inicio'!C43-Inversiones!C24</f>
        <v>-128.26388888888889</v>
      </c>
      <c r="D12" s="248">
        <f>-'Valores de Inicio'!D43-Inversiones!D24</f>
        <v>-128.26388888888889</v>
      </c>
      <c r="E12" s="248">
        <f>-'Valores de Inicio'!E43-Inversiones!E24</f>
        <v>-128.26388888888889</v>
      </c>
      <c r="F12" s="248">
        <f>-'Valores de Inicio'!F43-Inversiones!F24</f>
        <v>-128.26388888888889</v>
      </c>
      <c r="G12" s="248">
        <f>-'Valores de Inicio'!G43-Inversiones!G24</f>
        <v>-128.26388888888889</v>
      </c>
      <c r="H12" s="248">
        <f>-'Valores de Inicio'!H43-Inversiones!H24</f>
        <v>-128.26388888888889</v>
      </c>
      <c r="I12" s="248">
        <f>-'Valores de Inicio'!I43-Inversiones!I24</f>
        <v>-128.26388888888889</v>
      </c>
      <c r="J12" s="248">
        <f>-'Valores de Inicio'!J43-Inversiones!J24</f>
        <v>-128.26388888888889</v>
      </c>
      <c r="K12" s="248">
        <f>-'Valores de Inicio'!K43-Inversiones!K24</f>
        <v>-128.26388888888889</v>
      </c>
      <c r="L12" s="248">
        <f>-'Valores de Inicio'!L43-Inversiones!L24</f>
        <v>-128.26388888888889</v>
      </c>
      <c r="M12" s="248">
        <f>-'Valores de Inicio'!M43-Inversiones!M24</f>
        <v>-128.26388888888889</v>
      </c>
      <c r="N12" s="248">
        <f aca="true" t="shared" si="8" ref="N12:N17">SUM(B12:M12)</f>
        <v>-1539.1666666666667</v>
      </c>
      <c r="O12" s="248">
        <f>-'Valores de Inicio'!O43-Inversiones!O24</f>
        <v>-157.43055555555554</v>
      </c>
      <c r="P12" s="248">
        <f>-'Valores de Inicio'!P43-Inversiones!P24</f>
        <v>-157.43055555555554</v>
      </c>
      <c r="Q12" s="248">
        <f>-'Valores de Inicio'!Q43-Inversiones!Q24</f>
        <v>-157.43055555555554</v>
      </c>
      <c r="R12" s="248">
        <f>-'Valores de Inicio'!R43-Inversiones!R24</f>
        <v>-157.43055555555554</v>
      </c>
      <c r="S12" s="248">
        <f>-'Valores de Inicio'!S43-Inversiones!S24</f>
        <v>-157.43055555555554</v>
      </c>
      <c r="T12" s="248">
        <f>-'Valores de Inicio'!T43-Inversiones!T24</f>
        <v>-157.43055555555554</v>
      </c>
      <c r="U12" s="248">
        <f>-'Valores de Inicio'!U43-Inversiones!U24</f>
        <v>-157.43055555555554</v>
      </c>
      <c r="V12" s="248">
        <f>-'Valores de Inicio'!V43-Inversiones!V24</f>
        <v>-157.43055555555554</v>
      </c>
      <c r="W12" s="248">
        <f>-'Valores de Inicio'!W43-Inversiones!W24</f>
        <v>-157.43055555555554</v>
      </c>
      <c r="X12" s="248">
        <f>-'Valores de Inicio'!X43-Inversiones!X24</f>
        <v>-157.43055555555554</v>
      </c>
      <c r="Y12" s="248">
        <f>-'Valores de Inicio'!Y43-Inversiones!Y24</f>
        <v>-157.43055555555554</v>
      </c>
      <c r="Z12" s="248">
        <f>-'Valores de Inicio'!Z43-Inversiones!Z24</f>
        <v>-157.43055555555554</v>
      </c>
      <c r="AA12" s="248">
        <f aca="true" t="shared" si="9" ref="AA12:AA17">SUM(O12:Z12)</f>
        <v>-1889.166666666667</v>
      </c>
      <c r="AB12" s="248">
        <f>-'Valores de Inicio'!AB43-Inversiones!AB24</f>
        <v>-2239.1666666666665</v>
      </c>
      <c r="AC12" s="248">
        <f>-'Valores de Inicio'!AC43-Inversiones!AC24</f>
        <v>-2239.1666666666665</v>
      </c>
      <c r="AD12" s="248">
        <f>-'Valores de Inicio'!AD43-Inversiones!AD24</f>
        <v>-2239.1666666666665</v>
      </c>
      <c r="AE12" s="145"/>
    </row>
    <row r="13" spans="1:31" ht="15">
      <c r="A13" s="248" t="s">
        <v>128</v>
      </c>
      <c r="B13" s="248">
        <f>-Financiamiento!B14-Financiamiento!B22-'Valores de Inicio'!B56-'Valores de Inicio'!B63</f>
        <v>0</v>
      </c>
      <c r="C13" s="248">
        <f>-Financiamiento!C14-Financiamiento!C22-'Valores de Inicio'!C56-'Valores de Inicio'!C63</f>
        <v>0</v>
      </c>
      <c r="D13" s="248">
        <f>-Financiamiento!D14-Financiamiento!D22-'Valores de Inicio'!D56-'Valores de Inicio'!D63</f>
        <v>0</v>
      </c>
      <c r="E13" s="248">
        <f>-Financiamiento!E14-Financiamiento!E22-'Valores de Inicio'!E56-'Valores de Inicio'!E63</f>
        <v>0</v>
      </c>
      <c r="F13" s="248">
        <f>-Financiamiento!F14-Financiamiento!F22-'Valores de Inicio'!F56-'Valores de Inicio'!F63</f>
        <v>0</v>
      </c>
      <c r="G13" s="248">
        <f>-Financiamiento!G14-Financiamiento!G22-'Valores de Inicio'!G56-'Valores de Inicio'!G63</f>
        <v>0</v>
      </c>
      <c r="H13" s="248">
        <f>-Financiamiento!H14-Financiamiento!H22-'Valores de Inicio'!H56-'Valores de Inicio'!H63</f>
        <v>0</v>
      </c>
      <c r="I13" s="248">
        <f>-Financiamiento!I14-Financiamiento!I22-'Valores de Inicio'!I56-'Valores de Inicio'!I63</f>
        <v>0</v>
      </c>
      <c r="J13" s="248">
        <f>-Financiamiento!J14-Financiamiento!J22-'Valores de Inicio'!J56-'Valores de Inicio'!J63</f>
        <v>0</v>
      </c>
      <c r="K13" s="248">
        <f>-Financiamiento!K14-Financiamiento!K22-'Valores de Inicio'!K56-'Valores de Inicio'!K63</f>
        <v>0</v>
      </c>
      <c r="L13" s="248">
        <f>-Financiamiento!L14-Financiamiento!L22-'Valores de Inicio'!L56-'Valores de Inicio'!L63</f>
        <v>0</v>
      </c>
      <c r="M13" s="248">
        <f>-Financiamiento!M14-Financiamiento!M22-'Valores de Inicio'!M56-'Valores de Inicio'!M63</f>
        <v>0</v>
      </c>
      <c r="N13" s="248">
        <f t="shared" si="8"/>
        <v>0</v>
      </c>
      <c r="O13" s="248">
        <f>-Financiamiento!O14-Financiamiento!O22-'Valores de Inicio'!O56-'Valores de Inicio'!O63</f>
        <v>0</v>
      </c>
      <c r="P13" s="248">
        <f>-Financiamiento!P14-Financiamiento!P22-'Valores de Inicio'!P56-'Valores de Inicio'!P63</f>
        <v>0</v>
      </c>
      <c r="Q13" s="248">
        <f>-Financiamiento!Q14-Financiamiento!Q22-'Valores de Inicio'!Q56-'Valores de Inicio'!Q63</f>
        <v>0</v>
      </c>
      <c r="R13" s="248">
        <f>-Financiamiento!R14-Financiamiento!R22-'Valores de Inicio'!R56-'Valores de Inicio'!R63</f>
        <v>0</v>
      </c>
      <c r="S13" s="248">
        <f>-Financiamiento!S14-Financiamiento!S22-'Valores de Inicio'!S56-'Valores de Inicio'!S63</f>
        <v>0</v>
      </c>
      <c r="T13" s="248">
        <f>-Financiamiento!T14-Financiamiento!T22-'Valores de Inicio'!T56-'Valores de Inicio'!T63</f>
        <v>0</v>
      </c>
      <c r="U13" s="248">
        <f>-Financiamiento!U14-Financiamiento!U22-'Valores de Inicio'!U56-'Valores de Inicio'!U63</f>
        <v>0</v>
      </c>
      <c r="V13" s="248">
        <f>-Financiamiento!V14-Financiamiento!V22-'Valores de Inicio'!V56-'Valores de Inicio'!V63</f>
        <v>0</v>
      </c>
      <c r="W13" s="248">
        <f>-Financiamiento!W14-Financiamiento!W22-'Valores de Inicio'!W56-'Valores de Inicio'!W63</f>
        <v>0</v>
      </c>
      <c r="X13" s="248">
        <f>-Financiamiento!X14-Financiamiento!X22-'Valores de Inicio'!X56-'Valores de Inicio'!X63</f>
        <v>0</v>
      </c>
      <c r="Y13" s="248">
        <f>-Financiamiento!Y14-Financiamiento!Y22-'Valores de Inicio'!Y56-'Valores de Inicio'!Y63</f>
        <v>0</v>
      </c>
      <c r="Z13" s="248">
        <f>-Financiamiento!Z14-Financiamiento!Z22-'Valores de Inicio'!Z56-'Valores de Inicio'!Z63</f>
        <v>0</v>
      </c>
      <c r="AA13" s="248">
        <f t="shared" si="9"/>
        <v>0</v>
      </c>
      <c r="AB13" s="248">
        <f>-Financiamiento!AB14-Financiamiento!AB22-'Valores de Inicio'!AB56-'Valores de Inicio'!AB63</f>
        <v>0</v>
      </c>
      <c r="AC13" s="248">
        <f>-Financiamiento!AC14-Financiamiento!AC22-'Valores de Inicio'!AC56-'Valores de Inicio'!AC63</f>
        <v>0</v>
      </c>
      <c r="AD13" s="248">
        <f>-Financiamiento!AD14-Financiamiento!AD22-'Valores de Inicio'!AD56-'Valores de Inicio'!AD63</f>
        <v>0</v>
      </c>
      <c r="AE13" s="145"/>
    </row>
    <row r="14" spans="1:31" ht="15" hidden="1">
      <c r="A14" s="248" t="s">
        <v>108</v>
      </c>
      <c r="B14" s="248">
        <f>Extraordinarios!B3</f>
        <v>0</v>
      </c>
      <c r="C14" s="248">
        <f>Extraordinarios!C3</f>
        <v>0</v>
      </c>
      <c r="D14" s="248">
        <f>Extraordinarios!D3</f>
        <v>0</v>
      </c>
      <c r="E14" s="248">
        <f>Extraordinarios!E3</f>
        <v>0</v>
      </c>
      <c r="F14" s="248">
        <f>Extraordinarios!F3</f>
        <v>0</v>
      </c>
      <c r="G14" s="248">
        <f>Extraordinarios!G3</f>
        <v>0</v>
      </c>
      <c r="H14" s="248">
        <f>Extraordinarios!H3</f>
        <v>0</v>
      </c>
      <c r="I14" s="248">
        <f>Extraordinarios!I3</f>
        <v>0</v>
      </c>
      <c r="J14" s="248">
        <f>Extraordinarios!J3</f>
        <v>0</v>
      </c>
      <c r="K14" s="248">
        <f>Extraordinarios!K3</f>
        <v>0</v>
      </c>
      <c r="L14" s="248">
        <f>Extraordinarios!L3</f>
        <v>0</v>
      </c>
      <c r="M14" s="248">
        <f>Extraordinarios!M3</f>
        <v>0</v>
      </c>
      <c r="N14" s="248">
        <f t="shared" si="8"/>
        <v>0</v>
      </c>
      <c r="O14" s="248">
        <f>Extraordinarios!O3</f>
        <v>0</v>
      </c>
      <c r="P14" s="248">
        <f>Extraordinarios!P3</f>
        <v>0</v>
      </c>
      <c r="Q14" s="248">
        <f>Extraordinarios!Q3</f>
        <v>0</v>
      </c>
      <c r="R14" s="248">
        <f>Extraordinarios!R3</f>
        <v>0</v>
      </c>
      <c r="S14" s="248">
        <f>Extraordinarios!S3</f>
        <v>0</v>
      </c>
      <c r="T14" s="248">
        <f>Extraordinarios!T3</f>
        <v>0</v>
      </c>
      <c r="U14" s="248">
        <f>Extraordinarios!U3</f>
        <v>0</v>
      </c>
      <c r="V14" s="248">
        <f>Extraordinarios!V3</f>
        <v>0</v>
      </c>
      <c r="W14" s="248">
        <f>Extraordinarios!W3</f>
        <v>0</v>
      </c>
      <c r="X14" s="248">
        <f>Extraordinarios!X3</f>
        <v>0</v>
      </c>
      <c r="Y14" s="248">
        <f>Extraordinarios!Y3</f>
        <v>0</v>
      </c>
      <c r="Z14" s="248">
        <f>Extraordinarios!Z3</f>
        <v>0</v>
      </c>
      <c r="AA14" s="248">
        <f t="shared" si="9"/>
        <v>0</v>
      </c>
      <c r="AB14" s="248">
        <f>Extraordinarios!AB3</f>
        <v>0</v>
      </c>
      <c r="AC14" s="248">
        <f>Extraordinarios!AC3</f>
        <v>0</v>
      </c>
      <c r="AD14" s="248">
        <f>Extraordinarios!AD3</f>
        <v>0</v>
      </c>
      <c r="AE14" s="145"/>
    </row>
    <row r="15" spans="1:31" ht="15">
      <c r="A15" s="248" t="s">
        <v>59</v>
      </c>
      <c r="B15" s="265">
        <f>Financiamiento!B26</f>
        <v>0</v>
      </c>
      <c r="C15" s="265">
        <f>Financiamiento!C26</f>
        <v>0</v>
      </c>
      <c r="D15" s="265">
        <f>Financiamiento!D26</f>
        <v>0</v>
      </c>
      <c r="E15" s="265">
        <f>Financiamiento!E26</f>
        <v>0</v>
      </c>
      <c r="F15" s="265">
        <f>Financiamiento!F26</f>
        <v>0</v>
      </c>
      <c r="G15" s="265">
        <f>Financiamiento!G26</f>
        <v>0</v>
      </c>
      <c r="H15" s="265">
        <f>Financiamiento!H26</f>
        <v>0</v>
      </c>
      <c r="I15" s="265">
        <f>Financiamiento!I26</f>
        <v>0</v>
      </c>
      <c r="J15" s="265">
        <f>Financiamiento!J26</f>
        <v>0</v>
      </c>
      <c r="K15" s="265">
        <f>Financiamiento!K26</f>
        <v>0</v>
      </c>
      <c r="L15" s="265">
        <f>Financiamiento!L26</f>
        <v>0</v>
      </c>
      <c r="M15" s="265">
        <f>Financiamiento!M26</f>
        <v>0</v>
      </c>
      <c r="N15" s="265">
        <f t="shared" si="8"/>
        <v>0</v>
      </c>
      <c r="O15" s="265">
        <f>Financiamiento!O26</f>
        <v>0</v>
      </c>
      <c r="P15" s="265">
        <f>Financiamiento!P26</f>
        <v>0</v>
      </c>
      <c r="Q15" s="265">
        <f>Financiamiento!Q26</f>
        <v>0</v>
      </c>
      <c r="R15" s="265">
        <f>Financiamiento!R26</f>
        <v>0</v>
      </c>
      <c r="S15" s="265">
        <f>Financiamiento!S26</f>
        <v>0</v>
      </c>
      <c r="T15" s="265">
        <f>Financiamiento!T26</f>
        <v>0</v>
      </c>
      <c r="U15" s="265">
        <f>Financiamiento!U26</f>
        <v>0</v>
      </c>
      <c r="V15" s="265">
        <f>Financiamiento!V26</f>
        <v>0</v>
      </c>
      <c r="W15" s="265">
        <f>Financiamiento!W26</f>
        <v>0</v>
      </c>
      <c r="X15" s="265">
        <f>Financiamiento!X26</f>
        <v>0</v>
      </c>
      <c r="Y15" s="265">
        <f>Financiamiento!Y26</f>
        <v>0</v>
      </c>
      <c r="Z15" s="265">
        <f>Financiamiento!Z26</f>
        <v>0</v>
      </c>
      <c r="AA15" s="265">
        <f t="shared" si="9"/>
        <v>0</v>
      </c>
      <c r="AB15" s="265">
        <f>Financiamiento!AB26</f>
        <v>0</v>
      </c>
      <c r="AC15" s="265">
        <f>Financiamiento!AC26</f>
        <v>0</v>
      </c>
      <c r="AD15" s="265">
        <f>Financiamiento!AD26</f>
        <v>0</v>
      </c>
      <c r="AE15" s="145"/>
    </row>
    <row r="16" spans="1:31" ht="15">
      <c r="A16" s="248" t="s">
        <v>56</v>
      </c>
      <c r="B16" s="248">
        <f>-Impuestos!B20</f>
        <v>-124.34722222222223</v>
      </c>
      <c r="C16" s="248">
        <f>-Impuestos!C20</f>
        <v>-124.34722222222223</v>
      </c>
      <c r="D16" s="248">
        <f>-Impuestos!D20</f>
        <v>-124.34722222222223</v>
      </c>
      <c r="E16" s="248">
        <f>-Impuestos!E20</f>
        <v>-124.34722222222223</v>
      </c>
      <c r="F16" s="248">
        <f>-Impuestos!F20</f>
        <v>-124.34722222222223</v>
      </c>
      <c r="G16" s="248">
        <f>-Impuestos!G20</f>
        <v>-124.34722222222223</v>
      </c>
      <c r="H16" s="248">
        <f>-Impuestos!H20</f>
        <v>-124.34722222222223</v>
      </c>
      <c r="I16" s="248">
        <f>-Impuestos!I20</f>
        <v>-124.34722222222223</v>
      </c>
      <c r="J16" s="248">
        <f>-Impuestos!J20</f>
        <v>-124.34722222222223</v>
      </c>
      <c r="K16" s="248">
        <f>-Impuestos!K20</f>
        <v>-124.34722222222223</v>
      </c>
      <c r="L16" s="248">
        <f>-Impuestos!L20</f>
        <v>-124.34722222222223</v>
      </c>
      <c r="M16" s="248">
        <f>-Impuestos!M20</f>
        <v>-124.34722222222223</v>
      </c>
      <c r="N16" s="248">
        <f t="shared" si="8"/>
        <v>-1492.1666666666663</v>
      </c>
      <c r="O16" s="248">
        <f>-Impuestos!O20</f>
        <v>-522.7708333333333</v>
      </c>
      <c r="P16" s="248">
        <f>-Impuestos!P20</f>
        <v>-522.7708333333333</v>
      </c>
      <c r="Q16" s="248">
        <f>-Impuestos!Q20</f>
        <v>-522.7708333333333</v>
      </c>
      <c r="R16" s="248">
        <f>-Impuestos!R20</f>
        <v>-522.7708333333333</v>
      </c>
      <c r="S16" s="248">
        <f>-Impuestos!S20</f>
        <v>-522.7708333333333</v>
      </c>
      <c r="T16" s="248">
        <f>-Impuestos!T20</f>
        <v>-522.7708333333333</v>
      </c>
      <c r="U16" s="248">
        <f>-Impuestos!U20</f>
        <v>-522.7708333333333</v>
      </c>
      <c r="V16" s="248">
        <f>-Impuestos!V20</f>
        <v>-522.7708333333333</v>
      </c>
      <c r="W16" s="248">
        <f>-Impuestos!W20</f>
        <v>-522.7708333333333</v>
      </c>
      <c r="X16" s="248">
        <f>-Impuestos!X20</f>
        <v>-522.7708333333333</v>
      </c>
      <c r="Y16" s="248">
        <f>-Impuestos!Y20</f>
        <v>-522.7708333333333</v>
      </c>
      <c r="Z16" s="248">
        <f>-Impuestos!Z20</f>
        <v>-522.7708333333333</v>
      </c>
      <c r="AA16" s="248">
        <f t="shared" si="9"/>
        <v>-6273.249999999997</v>
      </c>
      <c r="AB16" s="248">
        <f>-Impuestos!AB20</f>
        <v>-7617.249999999999</v>
      </c>
      <c r="AC16" s="248">
        <f>-Impuestos!AC20</f>
        <v>-7870.449999999999</v>
      </c>
      <c r="AD16" s="248">
        <f>-Impuestos!AD20</f>
        <v>-10812.85000000001</v>
      </c>
      <c r="AE16" s="145"/>
    </row>
    <row r="17" spans="1:31" ht="15">
      <c r="A17" s="146" t="s">
        <v>132</v>
      </c>
      <c r="B17" s="146">
        <f aca="true" t="shared" si="10" ref="B17:M17">B10+B12+B13+B14+B15+B16</f>
        <v>497.38888888888886</v>
      </c>
      <c r="C17" s="146">
        <f t="shared" si="10"/>
        <v>497.38888888888886</v>
      </c>
      <c r="D17" s="146">
        <f t="shared" si="10"/>
        <v>497.38888888888886</v>
      </c>
      <c r="E17" s="146">
        <f t="shared" si="10"/>
        <v>497.38888888888886</v>
      </c>
      <c r="F17" s="146">
        <f t="shared" si="10"/>
        <v>497.38888888888886</v>
      </c>
      <c r="G17" s="146">
        <f t="shared" si="10"/>
        <v>497.38888888888886</v>
      </c>
      <c r="H17" s="146">
        <f t="shared" si="10"/>
        <v>497.38888888888886</v>
      </c>
      <c r="I17" s="146">
        <f t="shared" si="10"/>
        <v>497.38888888888886</v>
      </c>
      <c r="J17" s="146">
        <f t="shared" si="10"/>
        <v>497.38888888888886</v>
      </c>
      <c r="K17" s="146">
        <f t="shared" si="10"/>
        <v>497.38888888888886</v>
      </c>
      <c r="L17" s="146">
        <f t="shared" si="10"/>
        <v>497.38888888888886</v>
      </c>
      <c r="M17" s="146">
        <f t="shared" si="10"/>
        <v>497.38888888888886</v>
      </c>
      <c r="N17" s="146">
        <f t="shared" si="8"/>
        <v>5968.666666666665</v>
      </c>
      <c r="O17" s="146">
        <f aca="true" t="shared" si="11" ref="O17:Z17">O10+O12+O13+O14+O15+O16</f>
        <v>1219.798611111111</v>
      </c>
      <c r="P17" s="146">
        <f t="shared" si="11"/>
        <v>1219.798611111111</v>
      </c>
      <c r="Q17" s="146">
        <f t="shared" si="11"/>
        <v>1219.798611111111</v>
      </c>
      <c r="R17" s="146">
        <f t="shared" si="11"/>
        <v>1219.798611111111</v>
      </c>
      <c r="S17" s="146">
        <f t="shared" si="11"/>
        <v>1219.798611111111</v>
      </c>
      <c r="T17" s="146">
        <f t="shared" si="11"/>
        <v>1219.798611111111</v>
      </c>
      <c r="U17" s="146">
        <f t="shared" si="11"/>
        <v>1219.798611111111</v>
      </c>
      <c r="V17" s="146">
        <f t="shared" si="11"/>
        <v>1219.798611111111</v>
      </c>
      <c r="W17" s="146">
        <f t="shared" si="11"/>
        <v>1219.798611111111</v>
      </c>
      <c r="X17" s="146">
        <f t="shared" si="11"/>
        <v>1219.798611111111</v>
      </c>
      <c r="Y17" s="146">
        <f t="shared" si="11"/>
        <v>1219.798611111111</v>
      </c>
      <c r="Z17" s="146">
        <f t="shared" si="11"/>
        <v>1219.798611111111</v>
      </c>
      <c r="AA17" s="146">
        <f t="shared" si="9"/>
        <v>14637.583333333334</v>
      </c>
      <c r="AB17" s="146">
        <f>AB10+AB12+AB13+AB14+AB15+AB16</f>
        <v>17773.583333333332</v>
      </c>
      <c r="AC17" s="146">
        <f>AC10+AC12+AC13+AC14+AC15+AC16</f>
        <v>18364.38333333333</v>
      </c>
      <c r="AD17" s="146">
        <f>AD10+AD12+AD13+AD14+AD15+AD16</f>
        <v>25229.983333333355</v>
      </c>
      <c r="AE17" s="145"/>
    </row>
    <row r="18" spans="1:31" ht="15">
      <c r="A18" s="275"/>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45"/>
    </row>
    <row r="19" spans="1:32" s="59" customFormat="1" ht="18" customHeight="1" hidden="1">
      <c r="A19" s="181" t="s">
        <v>52</v>
      </c>
      <c r="B19" s="181">
        <v>1</v>
      </c>
      <c r="C19" s="181">
        <f aca="true" t="shared" si="12" ref="C19:M19">IF(B19=0,0,IF(B17&gt;=0,0,1))</f>
        <v>0</v>
      </c>
      <c r="D19" s="181">
        <f t="shared" si="12"/>
        <v>0</v>
      </c>
      <c r="E19" s="181">
        <f t="shared" si="12"/>
        <v>0</v>
      </c>
      <c r="F19" s="181">
        <f t="shared" si="12"/>
        <v>0</v>
      </c>
      <c r="G19" s="181">
        <f t="shared" si="12"/>
        <v>0</v>
      </c>
      <c r="H19" s="181">
        <f t="shared" si="12"/>
        <v>0</v>
      </c>
      <c r="I19" s="181">
        <f t="shared" si="12"/>
        <v>0</v>
      </c>
      <c r="J19" s="181">
        <f t="shared" si="12"/>
        <v>0</v>
      </c>
      <c r="K19" s="181">
        <f t="shared" si="12"/>
        <v>0</v>
      </c>
      <c r="L19" s="181">
        <f t="shared" si="12"/>
        <v>0</v>
      </c>
      <c r="M19" s="181">
        <f t="shared" si="12"/>
        <v>0</v>
      </c>
      <c r="N19" s="181"/>
      <c r="O19" s="181">
        <f aca="true" t="shared" si="13" ref="O19:Z19">IF(N19=0,0,IF(N17&gt;=0,0,1))</f>
        <v>0</v>
      </c>
      <c r="P19" s="181">
        <f t="shared" si="13"/>
        <v>0</v>
      </c>
      <c r="Q19" s="181">
        <f t="shared" si="13"/>
        <v>0</v>
      </c>
      <c r="R19" s="181">
        <f t="shared" si="13"/>
        <v>0</v>
      </c>
      <c r="S19" s="181">
        <f t="shared" si="13"/>
        <v>0</v>
      </c>
      <c r="T19" s="181">
        <f t="shared" si="13"/>
        <v>0</v>
      </c>
      <c r="U19" s="181">
        <f t="shared" si="13"/>
        <v>0</v>
      </c>
      <c r="V19" s="181">
        <f t="shared" si="13"/>
        <v>0</v>
      </c>
      <c r="W19" s="181">
        <f t="shared" si="13"/>
        <v>0</v>
      </c>
      <c r="X19" s="181">
        <f t="shared" si="13"/>
        <v>0</v>
      </c>
      <c r="Y19" s="181">
        <f t="shared" si="13"/>
        <v>0</v>
      </c>
      <c r="Z19" s="181">
        <f t="shared" si="13"/>
        <v>0</v>
      </c>
      <c r="AA19" s="181"/>
      <c r="AB19" s="181">
        <f>IF(AA19=0,0,IF(AA17&gt;=0,0,1))</f>
        <v>0</v>
      </c>
      <c r="AC19" s="181">
        <f>IF(AB19=0,0,IF(AB17&gt;=0,0,1))</f>
        <v>0</v>
      </c>
      <c r="AD19" s="181">
        <f>IF(AC19=0,0,IF(AC17&gt;=0,0,1))</f>
        <v>0</v>
      </c>
      <c r="AE19" s="181"/>
      <c r="AF19" s="59">
        <f>SUM(B19:AD19)</f>
        <v>1</v>
      </c>
    </row>
    <row r="20" spans="1:31" ht="12.75">
      <c r="A20" s="180"/>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row>
    <row r="21" spans="1:31" ht="12.75">
      <c r="A21" s="180"/>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row>
  </sheetData>
  <sheetProtection/>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AE29"/>
  <sheetViews>
    <sheetView showGridLines="0"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A12" sqref="A12"/>
    </sheetView>
  </sheetViews>
  <sheetFormatPr defaultColWidth="9.140625" defaultRowHeight="12.75" outlineLevelCol="1"/>
  <cols>
    <col min="1" max="1" width="42.8515625" style="17" customWidth="1"/>
    <col min="2" max="13" width="13.28125" style="140" hidden="1" customWidth="1" outlineLevel="1"/>
    <col min="14" max="14" width="13.28125" style="140" customWidth="1" collapsed="1"/>
    <col min="15" max="26" width="13.28125" style="140" hidden="1" customWidth="1" outlineLevel="1"/>
    <col min="27" max="27" width="13.28125" style="140" customWidth="1" collapsed="1"/>
    <col min="28" max="30" width="13.28125" style="140" customWidth="1"/>
  </cols>
  <sheetData>
    <row r="1" spans="1:31" ht="15.75" customHeight="1">
      <c r="A1" s="141" t="str">
        <f>"BALANCE ("&amp;Introducción!E17&amp;")"</f>
        <v>BALANCE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44"/>
    </row>
    <row r="2" spans="1:31" ht="12.75">
      <c r="A2" s="182"/>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44"/>
    </row>
    <row r="3" spans="1:31" ht="15">
      <c r="A3" s="248" t="s">
        <v>144</v>
      </c>
      <c r="B3" s="248">
        <f>'Flujo de Caja'!B36</f>
        <v>8625.652777777777</v>
      </c>
      <c r="C3" s="248">
        <f>'Flujo de Caja'!C36</f>
        <v>9251.305555555555</v>
      </c>
      <c r="D3" s="248">
        <f>'Flujo de Caja'!D36</f>
        <v>9876.958333333332</v>
      </c>
      <c r="E3" s="248">
        <f>'Flujo de Caja'!E36</f>
        <v>10502.61111111111</v>
      </c>
      <c r="F3" s="248">
        <f>'Flujo de Caja'!F36</f>
        <v>11128.263888888887</v>
      </c>
      <c r="G3" s="248">
        <f>'Flujo de Caja'!G36</f>
        <v>11753.916666666664</v>
      </c>
      <c r="H3" s="248">
        <f>'Flujo de Caja'!H36</f>
        <v>12379.569444444442</v>
      </c>
      <c r="I3" s="248">
        <f>'Flujo de Caja'!I36</f>
        <v>13005.222222222219</v>
      </c>
      <c r="J3" s="248">
        <f>'Flujo de Caja'!J36</f>
        <v>13630.874999999996</v>
      </c>
      <c r="K3" s="248">
        <f>'Flujo de Caja'!K36</f>
        <v>14256.527777777774</v>
      </c>
      <c r="L3" s="248">
        <f>'Flujo de Caja'!L36</f>
        <v>14882.180555555551</v>
      </c>
      <c r="M3" s="248">
        <f>'Flujo de Caja'!M36</f>
        <v>13507.833333333328</v>
      </c>
      <c r="N3" s="248">
        <f>M3</f>
        <v>13507.833333333328</v>
      </c>
      <c r="O3" s="248">
        <f>'Flujo de Caja'!O36</f>
        <v>12885.062500000004</v>
      </c>
      <c r="P3" s="248">
        <f>'Flujo de Caja'!P36</f>
        <v>14262.29166666667</v>
      </c>
      <c r="Q3" s="248">
        <f>'Flujo de Caja'!Q36</f>
        <v>15639.520833333336</v>
      </c>
      <c r="R3" s="248">
        <f>'Flujo de Caja'!R36</f>
        <v>17016.750000000004</v>
      </c>
      <c r="S3" s="248">
        <f>'Flujo de Caja'!S36</f>
        <v>18393.97916666667</v>
      </c>
      <c r="T3" s="248">
        <f>'Flujo de Caja'!T36</f>
        <v>19771.20833333334</v>
      </c>
      <c r="U3" s="248">
        <f>'Flujo de Caja'!U36</f>
        <v>21148.437500000007</v>
      </c>
      <c r="V3" s="248">
        <f>'Flujo de Caja'!V36</f>
        <v>22525.666666666675</v>
      </c>
      <c r="W3" s="248">
        <f>'Flujo de Caja'!W36</f>
        <v>23902.895833333343</v>
      </c>
      <c r="X3" s="248">
        <f>'Flujo de Caja'!X36</f>
        <v>25280.12500000001</v>
      </c>
      <c r="Y3" s="248">
        <f>'Flujo de Caja'!Y36</f>
        <v>26657.35416666668</v>
      </c>
      <c r="Z3" s="248">
        <f>'Flujo de Caja'!Z36</f>
        <v>25034.583333333347</v>
      </c>
      <c r="AA3" s="248">
        <f>Z3</f>
        <v>25034.583333333347</v>
      </c>
      <c r="AB3" s="248">
        <f>'Flujo de Caja'!AB36</f>
        <v>33047.33333333334</v>
      </c>
      <c r="AC3" s="248">
        <f>'Flujo de Caja'!AC36</f>
        <v>46650.883333333346</v>
      </c>
      <c r="AD3" s="248">
        <f>'Flujo de Caja'!AD36</f>
        <v>65120.03333333337</v>
      </c>
      <c r="AE3" s="199"/>
    </row>
    <row r="4" spans="1:31" ht="15">
      <c r="A4" s="248" t="s">
        <v>101</v>
      </c>
      <c r="B4" s="248">
        <f>-'Flujo de Caja'!B13+'Valores de Inicio'!B7</f>
        <v>0</v>
      </c>
      <c r="C4" s="248">
        <f>-'Flujo de Caja'!C13+B4</f>
        <v>0</v>
      </c>
      <c r="D4" s="248">
        <f>-'Flujo de Caja'!D13+C4</f>
        <v>0</v>
      </c>
      <c r="E4" s="248">
        <f>-'Flujo de Caja'!E13+D4</f>
        <v>0</v>
      </c>
      <c r="F4" s="248">
        <f>-'Flujo de Caja'!F13+E4</f>
        <v>0</v>
      </c>
      <c r="G4" s="248">
        <f>-'Flujo de Caja'!G13+F4</f>
        <v>0</v>
      </c>
      <c r="H4" s="248">
        <f>-'Flujo de Caja'!H13+G4</f>
        <v>0</v>
      </c>
      <c r="I4" s="248">
        <f>-'Flujo de Caja'!I13+H4</f>
        <v>0</v>
      </c>
      <c r="J4" s="248">
        <f>-'Flujo de Caja'!J13+I4</f>
        <v>0</v>
      </c>
      <c r="K4" s="248">
        <f>-'Flujo de Caja'!K13+J4</f>
        <v>0</v>
      </c>
      <c r="L4" s="248">
        <f>-'Flujo de Caja'!L13+K4</f>
        <v>0</v>
      </c>
      <c r="M4" s="248">
        <f>-'Flujo de Caja'!M13+L4</f>
        <v>0</v>
      </c>
      <c r="N4" s="248">
        <f>M4</f>
        <v>0</v>
      </c>
      <c r="O4" s="248">
        <f>-'Flujo de Caja'!O13+N4</f>
        <v>0</v>
      </c>
      <c r="P4" s="248">
        <f>-'Flujo de Caja'!P13+O4</f>
        <v>0</v>
      </c>
      <c r="Q4" s="248">
        <f>-'Flujo de Caja'!Q13+P4</f>
        <v>0</v>
      </c>
      <c r="R4" s="248">
        <f>-'Flujo de Caja'!R13+Q4</f>
        <v>0</v>
      </c>
      <c r="S4" s="248">
        <f>-'Flujo de Caja'!S13+R4</f>
        <v>0</v>
      </c>
      <c r="T4" s="248">
        <f>-'Flujo de Caja'!T13+S4</f>
        <v>0</v>
      </c>
      <c r="U4" s="248">
        <f>-'Flujo de Caja'!U13+T4</f>
        <v>0</v>
      </c>
      <c r="V4" s="248">
        <f>-'Flujo de Caja'!V13+U4</f>
        <v>0</v>
      </c>
      <c r="W4" s="248">
        <f>-'Flujo de Caja'!W13+V4</f>
        <v>0</v>
      </c>
      <c r="X4" s="248">
        <f>-'Flujo de Caja'!X13+W4</f>
        <v>0</v>
      </c>
      <c r="Y4" s="248">
        <f>-'Flujo de Caja'!Y13+X4</f>
        <v>0</v>
      </c>
      <c r="Z4" s="248">
        <f>-'Flujo de Caja'!Z13+Y4</f>
        <v>0</v>
      </c>
      <c r="AA4" s="248">
        <f>Z4</f>
        <v>0</v>
      </c>
      <c r="AB4" s="248">
        <f>-'Flujo de Caja'!AB13+AA4</f>
        <v>0</v>
      </c>
      <c r="AC4" s="248">
        <f>-'Flujo de Caja'!AC13+AB4</f>
        <v>0</v>
      </c>
      <c r="AD4" s="248">
        <f>-'Flujo de Caja'!AD13+AC4</f>
        <v>0</v>
      </c>
      <c r="AE4" s="199"/>
    </row>
    <row r="5" spans="1:31" ht="15" hidden="1">
      <c r="A5" s="248" t="s">
        <v>104</v>
      </c>
      <c r="B5" s="248">
        <f>-'Flujo de Caja'!B15+'Valores de Inicio'!B8+'Valores de Inicio'!B9</f>
        <v>0</v>
      </c>
      <c r="C5" s="248">
        <f>-'Flujo de Caja'!C15+B5</f>
        <v>0</v>
      </c>
      <c r="D5" s="248">
        <f>-'Flujo de Caja'!D15+C5</f>
        <v>0</v>
      </c>
      <c r="E5" s="248">
        <f>-'Flujo de Caja'!E15+D5</f>
        <v>0</v>
      </c>
      <c r="F5" s="248">
        <f>-'Flujo de Caja'!F15+E5</f>
        <v>0</v>
      </c>
      <c r="G5" s="248">
        <f>-'Flujo de Caja'!G15+F5</f>
        <v>0</v>
      </c>
      <c r="H5" s="248">
        <f>-'Flujo de Caja'!H15+G5</f>
        <v>0</v>
      </c>
      <c r="I5" s="248">
        <f>-'Flujo de Caja'!I15+H5</f>
        <v>0</v>
      </c>
      <c r="J5" s="248">
        <f>-'Flujo de Caja'!J15+I5</f>
        <v>0</v>
      </c>
      <c r="K5" s="248">
        <f>-'Flujo de Caja'!K15+J5</f>
        <v>0</v>
      </c>
      <c r="L5" s="248">
        <f>-'Flujo de Caja'!L15+K5</f>
        <v>0</v>
      </c>
      <c r="M5" s="248">
        <f>-'Flujo de Caja'!M15+L5</f>
        <v>0</v>
      </c>
      <c r="N5" s="248">
        <f>M5</f>
        <v>0</v>
      </c>
      <c r="O5" s="248">
        <f>-'Flujo de Caja'!O15+N5</f>
        <v>0</v>
      </c>
      <c r="P5" s="248">
        <f>-'Flujo de Caja'!P15+O5</f>
        <v>0</v>
      </c>
      <c r="Q5" s="248">
        <f>-'Flujo de Caja'!Q15+P5</f>
        <v>0</v>
      </c>
      <c r="R5" s="248">
        <f>-'Flujo de Caja'!R15+Q5</f>
        <v>0</v>
      </c>
      <c r="S5" s="248">
        <f>-'Flujo de Caja'!S15+R5</f>
        <v>0</v>
      </c>
      <c r="T5" s="248">
        <f>-'Flujo de Caja'!T15+S5</f>
        <v>0</v>
      </c>
      <c r="U5" s="248">
        <f>-'Flujo de Caja'!U15+T5</f>
        <v>0</v>
      </c>
      <c r="V5" s="248">
        <f>-'Flujo de Caja'!V15+U5</f>
        <v>0</v>
      </c>
      <c r="W5" s="248">
        <f>-'Flujo de Caja'!W15+V5</f>
        <v>0</v>
      </c>
      <c r="X5" s="248">
        <f>-'Flujo de Caja'!X15+W5</f>
        <v>0</v>
      </c>
      <c r="Y5" s="248">
        <f>-'Flujo de Caja'!Y15+X5</f>
        <v>0</v>
      </c>
      <c r="Z5" s="248">
        <f>-'Flujo de Caja'!Z15+Y5</f>
        <v>0</v>
      </c>
      <c r="AA5" s="248">
        <f>Z5</f>
        <v>0</v>
      </c>
      <c r="AB5" s="248">
        <f>-'Flujo de Caja'!AB15+AA5</f>
        <v>0</v>
      </c>
      <c r="AC5" s="248">
        <f>-'Flujo de Caja'!AC15+AB5</f>
        <v>0</v>
      </c>
      <c r="AD5" s="248">
        <f>-'Flujo de Caja'!AD15+AC5</f>
        <v>0</v>
      </c>
      <c r="AE5" s="199"/>
    </row>
    <row r="6" spans="1:31" ht="15">
      <c r="A6" s="248" t="s">
        <v>116</v>
      </c>
      <c r="B6" s="248">
        <f>-'Flujo de Caja'!B16+'Valores de Inicio'!B10</f>
        <v>0</v>
      </c>
      <c r="C6" s="248">
        <f>-'Flujo de Caja'!C16+B6</f>
        <v>0</v>
      </c>
      <c r="D6" s="248">
        <f>-'Flujo de Caja'!D16+C6</f>
        <v>0</v>
      </c>
      <c r="E6" s="248">
        <f>-'Flujo de Caja'!E16+D6</f>
        <v>0</v>
      </c>
      <c r="F6" s="248">
        <f>-'Flujo de Caja'!F16+E6</f>
        <v>0</v>
      </c>
      <c r="G6" s="248">
        <f>-'Flujo de Caja'!G16+F6</f>
        <v>0</v>
      </c>
      <c r="H6" s="248">
        <f>-'Flujo de Caja'!H16+G6</f>
        <v>0</v>
      </c>
      <c r="I6" s="248">
        <f>-'Flujo de Caja'!I16+H6</f>
        <v>0</v>
      </c>
      <c r="J6" s="248">
        <f>-'Flujo de Caja'!J16+I6</f>
        <v>0</v>
      </c>
      <c r="K6" s="248">
        <f>-'Flujo de Caja'!K16+J6</f>
        <v>0</v>
      </c>
      <c r="L6" s="248">
        <f>-'Flujo de Caja'!L16+K6</f>
        <v>0</v>
      </c>
      <c r="M6" s="248">
        <f>-'Flujo de Caja'!M16+L6</f>
        <v>0</v>
      </c>
      <c r="N6" s="248">
        <f>M6</f>
        <v>0</v>
      </c>
      <c r="O6" s="248">
        <f>-'Flujo de Caja'!O16+N6</f>
        <v>0</v>
      </c>
      <c r="P6" s="248">
        <f>-'Flujo de Caja'!P16+O6</f>
        <v>0</v>
      </c>
      <c r="Q6" s="248">
        <f>-'Flujo de Caja'!Q16+P6</f>
        <v>0</v>
      </c>
      <c r="R6" s="248">
        <f>-'Flujo de Caja'!R16+Q6</f>
        <v>0</v>
      </c>
      <c r="S6" s="248">
        <f>-'Flujo de Caja'!S16+R6</f>
        <v>0</v>
      </c>
      <c r="T6" s="248">
        <f>-'Flujo de Caja'!T16+S6</f>
        <v>0</v>
      </c>
      <c r="U6" s="248">
        <f>-'Flujo de Caja'!U16+T6</f>
        <v>0</v>
      </c>
      <c r="V6" s="248">
        <f>-'Flujo de Caja'!V16+U6</f>
        <v>0</v>
      </c>
      <c r="W6" s="248">
        <f>-'Flujo de Caja'!W16+V6</f>
        <v>0</v>
      </c>
      <c r="X6" s="248">
        <f>-'Flujo de Caja'!X16+W6</f>
        <v>0</v>
      </c>
      <c r="Y6" s="248">
        <f>-'Flujo de Caja'!Y16+X6</f>
        <v>0</v>
      </c>
      <c r="Z6" s="248">
        <f>-'Flujo de Caja'!Z16+Y6</f>
        <v>0</v>
      </c>
      <c r="AA6" s="248">
        <f>Z6</f>
        <v>0</v>
      </c>
      <c r="AB6" s="248">
        <f>-'Flujo de Caja'!AB16+AA6</f>
        <v>0</v>
      </c>
      <c r="AC6" s="248">
        <f>-'Flujo de Caja'!AC16+AB6</f>
        <v>0</v>
      </c>
      <c r="AD6" s="248">
        <f>-'Flujo de Caja'!AD16+AC6</f>
        <v>0</v>
      </c>
      <c r="AE6" s="199"/>
    </row>
    <row r="7" spans="1:31" ht="15">
      <c r="A7" s="250" t="s">
        <v>83</v>
      </c>
      <c r="B7" s="250">
        <f aca="true" t="shared" si="2" ref="B7:AD7">SUM(B3:B6)</f>
        <v>8625.652777777777</v>
      </c>
      <c r="C7" s="250">
        <f t="shared" si="2"/>
        <v>9251.305555555555</v>
      </c>
      <c r="D7" s="250">
        <f t="shared" si="2"/>
        <v>9876.958333333332</v>
      </c>
      <c r="E7" s="250">
        <f t="shared" si="2"/>
        <v>10502.61111111111</v>
      </c>
      <c r="F7" s="250">
        <f t="shared" si="2"/>
        <v>11128.263888888887</v>
      </c>
      <c r="G7" s="250">
        <f t="shared" si="2"/>
        <v>11753.916666666664</v>
      </c>
      <c r="H7" s="250">
        <f t="shared" si="2"/>
        <v>12379.569444444442</v>
      </c>
      <c r="I7" s="250">
        <f t="shared" si="2"/>
        <v>13005.222222222219</v>
      </c>
      <c r="J7" s="250">
        <f t="shared" si="2"/>
        <v>13630.874999999996</v>
      </c>
      <c r="K7" s="250">
        <f t="shared" si="2"/>
        <v>14256.527777777774</v>
      </c>
      <c r="L7" s="250">
        <f t="shared" si="2"/>
        <v>14882.180555555551</v>
      </c>
      <c r="M7" s="250">
        <f t="shared" si="2"/>
        <v>13507.833333333328</v>
      </c>
      <c r="N7" s="250">
        <f t="shared" si="2"/>
        <v>13507.833333333328</v>
      </c>
      <c r="O7" s="250">
        <f t="shared" si="2"/>
        <v>12885.062500000004</v>
      </c>
      <c r="P7" s="250">
        <f t="shared" si="2"/>
        <v>14262.29166666667</v>
      </c>
      <c r="Q7" s="250">
        <f t="shared" si="2"/>
        <v>15639.520833333336</v>
      </c>
      <c r="R7" s="250">
        <f t="shared" si="2"/>
        <v>17016.750000000004</v>
      </c>
      <c r="S7" s="250">
        <f t="shared" si="2"/>
        <v>18393.97916666667</v>
      </c>
      <c r="T7" s="250">
        <f t="shared" si="2"/>
        <v>19771.20833333334</v>
      </c>
      <c r="U7" s="250">
        <f t="shared" si="2"/>
        <v>21148.437500000007</v>
      </c>
      <c r="V7" s="250">
        <f t="shared" si="2"/>
        <v>22525.666666666675</v>
      </c>
      <c r="W7" s="250">
        <f t="shared" si="2"/>
        <v>23902.895833333343</v>
      </c>
      <c r="X7" s="250">
        <f t="shared" si="2"/>
        <v>25280.12500000001</v>
      </c>
      <c r="Y7" s="250">
        <f t="shared" si="2"/>
        <v>26657.35416666668</v>
      </c>
      <c r="Z7" s="250">
        <f t="shared" si="2"/>
        <v>25034.583333333347</v>
      </c>
      <c r="AA7" s="250">
        <f t="shared" si="2"/>
        <v>25034.583333333347</v>
      </c>
      <c r="AB7" s="250">
        <f t="shared" si="2"/>
        <v>33047.33333333334</v>
      </c>
      <c r="AC7" s="250">
        <f t="shared" si="2"/>
        <v>46650.883333333346</v>
      </c>
      <c r="AD7" s="250">
        <f t="shared" si="2"/>
        <v>65120.03333333337</v>
      </c>
      <c r="AE7" s="199"/>
    </row>
    <row r="8" spans="1:31" ht="15">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199"/>
    </row>
    <row r="9" spans="1:31" ht="15">
      <c r="A9" s="248" t="s">
        <v>70</v>
      </c>
      <c r="B9" s="248">
        <f>-'Flujo de Caja'!B19+'Valores de Inicio'!B13</f>
        <v>31000</v>
      </c>
      <c r="C9" s="248">
        <f>-'Flujo de Caja'!C19+B9</f>
        <v>31000</v>
      </c>
      <c r="D9" s="248">
        <f>-'Flujo de Caja'!D19+C9</f>
        <v>31000</v>
      </c>
      <c r="E9" s="248">
        <f>-'Flujo de Caja'!E19+D9</f>
        <v>31000</v>
      </c>
      <c r="F9" s="248">
        <f>-'Flujo de Caja'!F19+E9</f>
        <v>31000</v>
      </c>
      <c r="G9" s="248">
        <f>-'Flujo de Caja'!G19+F9</f>
        <v>31000</v>
      </c>
      <c r="H9" s="248">
        <f>-'Flujo de Caja'!H19+G9</f>
        <v>31000</v>
      </c>
      <c r="I9" s="248">
        <f>-'Flujo de Caja'!I19+H9</f>
        <v>31000</v>
      </c>
      <c r="J9" s="248">
        <f>-'Flujo de Caja'!J19+I9</f>
        <v>31000</v>
      </c>
      <c r="K9" s="248">
        <f>-'Flujo de Caja'!K19+J9</f>
        <v>31000</v>
      </c>
      <c r="L9" s="248">
        <f>-'Flujo de Caja'!L19+K9</f>
        <v>31000</v>
      </c>
      <c r="M9" s="248">
        <f>-'Flujo de Caja'!M19+L9</f>
        <v>31000</v>
      </c>
      <c r="N9" s="248">
        <f>M9</f>
        <v>31000</v>
      </c>
      <c r="O9" s="248">
        <f>-'Flujo de Caja'!O19+N9</f>
        <v>38000</v>
      </c>
      <c r="P9" s="248">
        <f>-'Flujo de Caja'!P19+O9</f>
        <v>38000</v>
      </c>
      <c r="Q9" s="248">
        <f>-'Flujo de Caja'!Q19+P9</f>
        <v>38000</v>
      </c>
      <c r="R9" s="248">
        <f>-'Flujo de Caja'!R19+Q9</f>
        <v>38000</v>
      </c>
      <c r="S9" s="248">
        <f>-'Flujo de Caja'!S19+R9</f>
        <v>38000</v>
      </c>
      <c r="T9" s="248">
        <f>-'Flujo de Caja'!T19+S9</f>
        <v>38000</v>
      </c>
      <c r="U9" s="248">
        <f>-'Flujo de Caja'!U19+T9</f>
        <v>38000</v>
      </c>
      <c r="V9" s="248">
        <f>-'Flujo de Caja'!V19+U9</f>
        <v>38000</v>
      </c>
      <c r="W9" s="248">
        <f>-'Flujo de Caja'!W19+V9</f>
        <v>38000</v>
      </c>
      <c r="X9" s="248">
        <f>-'Flujo de Caja'!X19+W9</f>
        <v>38000</v>
      </c>
      <c r="Y9" s="248">
        <f>-'Flujo de Caja'!Y19+X9</f>
        <v>38000</v>
      </c>
      <c r="Z9" s="248">
        <f>-'Flujo de Caja'!Z19+Y9</f>
        <v>38000</v>
      </c>
      <c r="AA9" s="248">
        <f>Z9</f>
        <v>38000</v>
      </c>
      <c r="AB9" s="248">
        <f>-'Flujo de Caja'!AB19+AA9</f>
        <v>45000</v>
      </c>
      <c r="AC9" s="248">
        <f>-'Flujo de Caja'!AC19+AB9</f>
        <v>45000</v>
      </c>
      <c r="AD9" s="248">
        <f>-'Flujo de Caja'!AD19+AC9</f>
        <v>45000</v>
      </c>
      <c r="AE9" s="199"/>
    </row>
    <row r="10" spans="1:31" ht="15">
      <c r="A10" s="248" t="s">
        <v>117</v>
      </c>
      <c r="B10" s="248">
        <f>-'Valores de Inicio'!B14-'Valores de Inicio'!B43-Inversiones!B24</f>
        <v>-878.2638888888889</v>
      </c>
      <c r="C10" s="248">
        <f>-'Valores de Inicio'!C43-Inversiones!C24+B10</f>
        <v>-1006.5277777777778</v>
      </c>
      <c r="D10" s="248">
        <f>-'Valores de Inicio'!D43-Inversiones!D24+C10</f>
        <v>-1134.7916666666667</v>
      </c>
      <c r="E10" s="248">
        <f>-'Valores de Inicio'!E43-Inversiones!E24+D10</f>
        <v>-1263.0555555555557</v>
      </c>
      <c r="F10" s="248">
        <f>-'Valores de Inicio'!F43-Inversiones!F24+E10</f>
        <v>-1391.3194444444446</v>
      </c>
      <c r="G10" s="248">
        <f>-'Valores de Inicio'!G43-Inversiones!G24+F10</f>
        <v>-1519.5833333333335</v>
      </c>
      <c r="H10" s="248">
        <f>-'Valores de Inicio'!H43-Inversiones!H24+G10</f>
        <v>-1647.8472222222224</v>
      </c>
      <c r="I10" s="248">
        <f>-'Valores de Inicio'!I43-Inversiones!I24+H10</f>
        <v>-1776.1111111111113</v>
      </c>
      <c r="J10" s="248">
        <f>-'Valores de Inicio'!J43-Inversiones!J24+I10</f>
        <v>-1904.3750000000002</v>
      </c>
      <c r="K10" s="248">
        <f>-'Valores de Inicio'!K43-Inversiones!K24+J10</f>
        <v>-2032.6388888888891</v>
      </c>
      <c r="L10" s="248">
        <f>-'Valores de Inicio'!L43-Inversiones!L24+K10</f>
        <v>-2160.902777777778</v>
      </c>
      <c r="M10" s="248">
        <f>-'Valores de Inicio'!M43-Inversiones!M24+L10</f>
        <v>-2289.1666666666665</v>
      </c>
      <c r="N10" s="248">
        <f>M10</f>
        <v>-2289.1666666666665</v>
      </c>
      <c r="O10" s="248">
        <f>-'Valores de Inicio'!O43-Inversiones!O24+N10</f>
        <v>-2446.597222222222</v>
      </c>
      <c r="P10" s="248">
        <f>-'Valores de Inicio'!P43-Inversiones!P24+O10</f>
        <v>-2604.027777777778</v>
      </c>
      <c r="Q10" s="248">
        <f>-'Valores de Inicio'!Q43-Inversiones!Q24+P10</f>
        <v>-2761.4583333333335</v>
      </c>
      <c r="R10" s="248">
        <f>-'Valores de Inicio'!R43-Inversiones!R24+Q10</f>
        <v>-2918.888888888889</v>
      </c>
      <c r="S10" s="248">
        <f>-'Valores de Inicio'!S43-Inversiones!S24+R10</f>
        <v>-3076.319444444445</v>
      </c>
      <c r="T10" s="248">
        <f>-'Valores de Inicio'!T43-Inversiones!T24+S10</f>
        <v>-3233.7500000000005</v>
      </c>
      <c r="U10" s="248">
        <f>-'Valores de Inicio'!U43-Inversiones!U24+T10</f>
        <v>-3391.180555555556</v>
      </c>
      <c r="V10" s="248">
        <f>-'Valores de Inicio'!V43-Inversiones!V24+U10</f>
        <v>-3548.6111111111118</v>
      </c>
      <c r="W10" s="248">
        <f>-'Valores de Inicio'!W43-Inversiones!W24+V10</f>
        <v>-3706.0416666666674</v>
      </c>
      <c r="X10" s="248">
        <f>-'Valores de Inicio'!X43-Inversiones!X24+W10</f>
        <v>-3863.472222222223</v>
      </c>
      <c r="Y10" s="248">
        <f>-'Valores de Inicio'!Y43-Inversiones!Y24+X10</f>
        <v>-4020.9027777777787</v>
      </c>
      <c r="Z10" s="248">
        <f>-'Valores de Inicio'!Z43-Inversiones!Z24+Y10</f>
        <v>-4178.333333333334</v>
      </c>
      <c r="AA10" s="248">
        <f>Z10</f>
        <v>-4178.333333333334</v>
      </c>
      <c r="AB10" s="248">
        <f>-'Valores de Inicio'!AB43-Inversiones!AB24+AA10</f>
        <v>-6417.5</v>
      </c>
      <c r="AC10" s="248">
        <f>-'Valores de Inicio'!AC43-Inversiones!AC24+AB10</f>
        <v>-8656.666666666666</v>
      </c>
      <c r="AD10" s="248">
        <f>-'Valores de Inicio'!AD43-Inversiones!AD24+AC10</f>
        <v>-10895.833333333332</v>
      </c>
      <c r="AE10" s="199"/>
    </row>
    <row r="11" spans="1:31" ht="15">
      <c r="A11" s="250" t="s">
        <v>100</v>
      </c>
      <c r="B11" s="250">
        <f aca="true" t="shared" si="3" ref="B11:AD11">SUM(B9:B10)</f>
        <v>30121.73611111111</v>
      </c>
      <c r="C11" s="250">
        <f t="shared" si="3"/>
        <v>29993.472222222223</v>
      </c>
      <c r="D11" s="250">
        <f t="shared" si="3"/>
        <v>29865.208333333332</v>
      </c>
      <c r="E11" s="250">
        <f t="shared" si="3"/>
        <v>29736.944444444445</v>
      </c>
      <c r="F11" s="250">
        <f t="shared" si="3"/>
        <v>29608.680555555555</v>
      </c>
      <c r="G11" s="250">
        <f t="shared" si="3"/>
        <v>29480.416666666668</v>
      </c>
      <c r="H11" s="250">
        <f t="shared" si="3"/>
        <v>29352.152777777777</v>
      </c>
      <c r="I11" s="250">
        <f t="shared" si="3"/>
        <v>29223.88888888889</v>
      </c>
      <c r="J11" s="250">
        <f t="shared" si="3"/>
        <v>29095.625</v>
      </c>
      <c r="K11" s="250">
        <f t="shared" si="3"/>
        <v>28967.36111111111</v>
      </c>
      <c r="L11" s="250">
        <f t="shared" si="3"/>
        <v>28839.097222222223</v>
      </c>
      <c r="M11" s="250">
        <f t="shared" si="3"/>
        <v>28710.833333333332</v>
      </c>
      <c r="N11" s="250">
        <f t="shared" si="3"/>
        <v>28710.833333333332</v>
      </c>
      <c r="O11" s="250">
        <f t="shared" si="3"/>
        <v>35553.40277777778</v>
      </c>
      <c r="P11" s="250">
        <f t="shared" si="3"/>
        <v>35395.97222222222</v>
      </c>
      <c r="Q11" s="250">
        <f t="shared" si="3"/>
        <v>35238.541666666664</v>
      </c>
      <c r="R11" s="250">
        <f t="shared" si="3"/>
        <v>35081.11111111111</v>
      </c>
      <c r="S11" s="250">
        <f t="shared" si="3"/>
        <v>34923.680555555555</v>
      </c>
      <c r="T11" s="250">
        <f t="shared" si="3"/>
        <v>34766.25</v>
      </c>
      <c r="U11" s="250">
        <f t="shared" si="3"/>
        <v>34608.819444444445</v>
      </c>
      <c r="V11" s="250">
        <f t="shared" si="3"/>
        <v>34451.38888888889</v>
      </c>
      <c r="W11" s="250">
        <f t="shared" si="3"/>
        <v>34293.958333333336</v>
      </c>
      <c r="X11" s="250">
        <f t="shared" si="3"/>
        <v>34136.527777777774</v>
      </c>
      <c r="Y11" s="250">
        <f t="shared" si="3"/>
        <v>33979.09722222222</v>
      </c>
      <c r="Z11" s="250">
        <f t="shared" si="3"/>
        <v>33821.666666666664</v>
      </c>
      <c r="AA11" s="250">
        <f t="shared" si="3"/>
        <v>33821.666666666664</v>
      </c>
      <c r="AB11" s="250">
        <f t="shared" si="3"/>
        <v>38582.5</v>
      </c>
      <c r="AC11" s="250">
        <f t="shared" si="3"/>
        <v>36343.333333333336</v>
      </c>
      <c r="AD11" s="250">
        <f t="shared" si="3"/>
        <v>34104.16666666667</v>
      </c>
      <c r="AE11" s="199"/>
    </row>
    <row r="12" spans="1:31" ht="15">
      <c r="A12" s="146" t="s">
        <v>69</v>
      </c>
      <c r="B12" s="146">
        <f aca="true" t="shared" si="4" ref="B12:AD12">B7+B11</f>
        <v>38747.38888888889</v>
      </c>
      <c r="C12" s="146">
        <f t="shared" si="4"/>
        <v>39244.77777777778</v>
      </c>
      <c r="D12" s="146">
        <f t="shared" si="4"/>
        <v>39742.166666666664</v>
      </c>
      <c r="E12" s="146">
        <f t="shared" si="4"/>
        <v>40239.555555555555</v>
      </c>
      <c r="F12" s="146">
        <f t="shared" si="4"/>
        <v>40736.94444444444</v>
      </c>
      <c r="G12" s="146">
        <f t="shared" si="4"/>
        <v>41234.33333333333</v>
      </c>
      <c r="H12" s="146">
        <f t="shared" si="4"/>
        <v>41731.72222222222</v>
      </c>
      <c r="I12" s="146">
        <f t="shared" si="4"/>
        <v>42229.11111111111</v>
      </c>
      <c r="J12" s="146">
        <f t="shared" si="4"/>
        <v>42726.5</v>
      </c>
      <c r="K12" s="146">
        <f t="shared" si="4"/>
        <v>43223.88888888888</v>
      </c>
      <c r="L12" s="146">
        <f t="shared" si="4"/>
        <v>43721.277777777774</v>
      </c>
      <c r="M12" s="146">
        <f t="shared" si="4"/>
        <v>42218.66666666666</v>
      </c>
      <c r="N12" s="146">
        <f t="shared" si="4"/>
        <v>42218.66666666666</v>
      </c>
      <c r="O12" s="146">
        <f t="shared" si="4"/>
        <v>48438.46527777778</v>
      </c>
      <c r="P12" s="146">
        <f t="shared" si="4"/>
        <v>49658.26388888889</v>
      </c>
      <c r="Q12" s="146">
        <f t="shared" si="4"/>
        <v>50878.0625</v>
      </c>
      <c r="R12" s="146">
        <f t="shared" si="4"/>
        <v>52097.86111111111</v>
      </c>
      <c r="S12" s="146">
        <f t="shared" si="4"/>
        <v>53317.659722222226</v>
      </c>
      <c r="T12" s="146">
        <f t="shared" si="4"/>
        <v>54537.45833333334</v>
      </c>
      <c r="U12" s="146">
        <f t="shared" si="4"/>
        <v>55757.25694444445</v>
      </c>
      <c r="V12" s="146">
        <f t="shared" si="4"/>
        <v>56977.05555555556</v>
      </c>
      <c r="W12" s="146">
        <f t="shared" si="4"/>
        <v>58196.85416666668</v>
      </c>
      <c r="X12" s="146">
        <f t="shared" si="4"/>
        <v>59416.65277777778</v>
      </c>
      <c r="Y12" s="146">
        <f t="shared" si="4"/>
        <v>60636.4513888889</v>
      </c>
      <c r="Z12" s="146">
        <f t="shared" si="4"/>
        <v>58856.250000000015</v>
      </c>
      <c r="AA12" s="146">
        <f t="shared" si="4"/>
        <v>58856.250000000015</v>
      </c>
      <c r="AB12" s="146">
        <f t="shared" si="4"/>
        <v>71629.83333333334</v>
      </c>
      <c r="AC12" s="146">
        <f t="shared" si="4"/>
        <v>82994.21666666667</v>
      </c>
      <c r="AD12" s="146">
        <f t="shared" si="4"/>
        <v>99224.20000000004</v>
      </c>
      <c r="AE12" s="199"/>
    </row>
    <row r="13" spans="1:31" ht="15">
      <c r="A13" s="252"/>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199"/>
    </row>
    <row r="14" spans="1:31" ht="15">
      <c r="A14" s="252"/>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199"/>
    </row>
    <row r="15" spans="1:31" ht="15">
      <c r="A15" s="248" t="s">
        <v>120</v>
      </c>
      <c r="B15" s="248">
        <f>'Flujo de Caja'!B14+'Valores de Inicio'!B18</f>
        <v>0</v>
      </c>
      <c r="C15" s="248">
        <f>'Flujo de Caja'!C14+B15</f>
        <v>0</v>
      </c>
      <c r="D15" s="248">
        <f>'Flujo de Caja'!D14+C15</f>
        <v>0</v>
      </c>
      <c r="E15" s="248">
        <f>'Flujo de Caja'!E14+D15</f>
        <v>0</v>
      </c>
      <c r="F15" s="248">
        <f>'Flujo de Caja'!F14+E15</f>
        <v>0</v>
      </c>
      <c r="G15" s="248">
        <f>'Flujo de Caja'!G14+F15</f>
        <v>0</v>
      </c>
      <c r="H15" s="248">
        <f>'Flujo de Caja'!H14+G15</f>
        <v>0</v>
      </c>
      <c r="I15" s="248">
        <f>'Flujo de Caja'!I14+H15</f>
        <v>0</v>
      </c>
      <c r="J15" s="248">
        <f>'Flujo de Caja'!J14+I15</f>
        <v>0</v>
      </c>
      <c r="K15" s="248">
        <f>'Flujo de Caja'!K14+J15</f>
        <v>0</v>
      </c>
      <c r="L15" s="248">
        <f>'Flujo de Caja'!L14+K15</f>
        <v>0</v>
      </c>
      <c r="M15" s="248">
        <f>'Flujo de Caja'!M14+L15</f>
        <v>0</v>
      </c>
      <c r="N15" s="248">
        <f>M15</f>
        <v>0</v>
      </c>
      <c r="O15" s="248">
        <f>'Flujo de Caja'!O14+N15</f>
        <v>0</v>
      </c>
      <c r="P15" s="248">
        <f>'Flujo de Caja'!P14+O15</f>
        <v>0</v>
      </c>
      <c r="Q15" s="248">
        <f>'Flujo de Caja'!Q14+P15</f>
        <v>0</v>
      </c>
      <c r="R15" s="248">
        <f>'Flujo de Caja'!R14+Q15</f>
        <v>0</v>
      </c>
      <c r="S15" s="248">
        <f>'Flujo de Caja'!S14+R15</f>
        <v>0</v>
      </c>
      <c r="T15" s="248">
        <f>'Flujo de Caja'!T14+S15</f>
        <v>0</v>
      </c>
      <c r="U15" s="248">
        <f>'Flujo de Caja'!U14+T15</f>
        <v>0</v>
      </c>
      <c r="V15" s="248">
        <f>'Flujo de Caja'!V14+U15</f>
        <v>0</v>
      </c>
      <c r="W15" s="248">
        <f>'Flujo de Caja'!W14+V15</f>
        <v>0</v>
      </c>
      <c r="X15" s="248">
        <f>'Flujo de Caja'!X14+W15</f>
        <v>0</v>
      </c>
      <c r="Y15" s="248">
        <f>'Flujo de Caja'!Y14+X15</f>
        <v>0</v>
      </c>
      <c r="Z15" s="248">
        <f>'Flujo de Caja'!Z14+Y15</f>
        <v>0</v>
      </c>
      <c r="AA15" s="248">
        <f>Z15</f>
        <v>0</v>
      </c>
      <c r="AB15" s="248">
        <f>'Flujo de Caja'!AB14+AA15</f>
        <v>0</v>
      </c>
      <c r="AC15" s="248">
        <f>'Flujo de Caja'!AC14+AB15</f>
        <v>0</v>
      </c>
      <c r="AD15" s="248">
        <f>'Flujo de Caja'!AD14+AC15</f>
        <v>0</v>
      </c>
      <c r="AE15" s="199"/>
    </row>
    <row r="16" spans="1:31" ht="15">
      <c r="A16" s="248" t="s">
        <v>34</v>
      </c>
      <c r="B16" s="248">
        <f>Financiamiento!B10-Financiamiento!B11+'Valores de Inicio'!B19-'Valores de Inicio'!B55</f>
        <v>0</v>
      </c>
      <c r="C16" s="248">
        <f>Financiamiento!C10-Financiamiento!C11-'Valores de Inicio'!C55+B16</f>
        <v>0</v>
      </c>
      <c r="D16" s="248">
        <f>Financiamiento!D10-Financiamiento!D11-'Valores de Inicio'!D55+C16</f>
        <v>0</v>
      </c>
      <c r="E16" s="248">
        <f>Financiamiento!E10-Financiamiento!E11-'Valores de Inicio'!E55+D16</f>
        <v>0</v>
      </c>
      <c r="F16" s="248">
        <f>Financiamiento!F10-Financiamiento!F11-'Valores de Inicio'!F55+E16</f>
        <v>0</v>
      </c>
      <c r="G16" s="248">
        <f>Financiamiento!G10-Financiamiento!G11-'Valores de Inicio'!G55+F16</f>
        <v>0</v>
      </c>
      <c r="H16" s="248">
        <f>Financiamiento!H10-Financiamiento!H11-'Valores de Inicio'!H55+G16</f>
        <v>0</v>
      </c>
      <c r="I16" s="248">
        <f>Financiamiento!I10-Financiamiento!I11-'Valores de Inicio'!I55+H16</f>
        <v>0</v>
      </c>
      <c r="J16" s="248">
        <f>Financiamiento!J10-Financiamiento!J11-'Valores de Inicio'!J55+I16</f>
        <v>0</v>
      </c>
      <c r="K16" s="248">
        <f>Financiamiento!K10-Financiamiento!K11-'Valores de Inicio'!K55+J16</f>
        <v>0</v>
      </c>
      <c r="L16" s="248">
        <f>Financiamiento!L10-Financiamiento!L11-'Valores de Inicio'!L55+K16</f>
        <v>0</v>
      </c>
      <c r="M16" s="248">
        <f>Financiamiento!M10-Financiamiento!M11-'Valores de Inicio'!M55+L16</f>
        <v>0</v>
      </c>
      <c r="N16" s="248">
        <f>M16</f>
        <v>0</v>
      </c>
      <c r="O16" s="248">
        <f>Financiamiento!O10-Financiamiento!O11-'Valores de Inicio'!O55+N16</f>
        <v>0</v>
      </c>
      <c r="P16" s="248">
        <f>Financiamiento!P10-Financiamiento!P11-'Valores de Inicio'!P55+O16</f>
        <v>0</v>
      </c>
      <c r="Q16" s="248">
        <f>Financiamiento!Q10-Financiamiento!Q11-'Valores de Inicio'!Q55+P16</f>
        <v>0</v>
      </c>
      <c r="R16" s="248">
        <f>Financiamiento!R10-Financiamiento!R11-'Valores de Inicio'!R55+Q16</f>
        <v>0</v>
      </c>
      <c r="S16" s="248">
        <f>Financiamiento!S10-Financiamiento!S11-'Valores de Inicio'!S55+R16</f>
        <v>0</v>
      </c>
      <c r="T16" s="248">
        <f>Financiamiento!T10-Financiamiento!T11-'Valores de Inicio'!T55+S16</f>
        <v>0</v>
      </c>
      <c r="U16" s="248">
        <f>Financiamiento!U10-Financiamiento!U11-'Valores de Inicio'!U55+T16</f>
        <v>0</v>
      </c>
      <c r="V16" s="248">
        <f>Financiamiento!V10-Financiamiento!V11-'Valores de Inicio'!V55+U16</f>
        <v>0</v>
      </c>
      <c r="W16" s="248">
        <f>Financiamiento!W10-Financiamiento!W11-'Valores de Inicio'!W55+V16</f>
        <v>0</v>
      </c>
      <c r="X16" s="248">
        <f>Financiamiento!X10-Financiamiento!X11-'Valores de Inicio'!X55+W16</f>
        <v>0</v>
      </c>
      <c r="Y16" s="248">
        <f>Financiamiento!Y10-Financiamiento!Y11-'Valores de Inicio'!Y55+X16</f>
        <v>0</v>
      </c>
      <c r="Z16" s="248">
        <f>Financiamiento!Z10-Financiamiento!Z11-'Valores de Inicio'!Z55+Y16</f>
        <v>0</v>
      </c>
      <c r="AA16" s="248">
        <f>Z16</f>
        <v>0</v>
      </c>
      <c r="AB16" s="248">
        <f>Financiamiento!AB10-Financiamiento!AB11-'Valores de Inicio'!AB55+AA16</f>
        <v>0</v>
      </c>
      <c r="AC16" s="248">
        <f>Financiamiento!AC10-Financiamiento!AC11-'Valores de Inicio'!AC55+AB16</f>
        <v>0</v>
      </c>
      <c r="AD16" s="248">
        <f>Financiamiento!AD10-Financiamiento!AD11-'Valores de Inicio'!AD55+AC16</f>
        <v>0</v>
      </c>
      <c r="AE16" s="199"/>
    </row>
    <row r="17" spans="1:31" ht="15">
      <c r="A17" s="250" t="s">
        <v>207</v>
      </c>
      <c r="B17" s="250">
        <f aca="true" t="shared" si="5" ref="B17:AD17">SUM(B15:B16)</f>
        <v>0</v>
      </c>
      <c r="C17" s="250">
        <f t="shared" si="5"/>
        <v>0</v>
      </c>
      <c r="D17" s="250">
        <f t="shared" si="5"/>
        <v>0</v>
      </c>
      <c r="E17" s="250">
        <f t="shared" si="5"/>
        <v>0</v>
      </c>
      <c r="F17" s="250">
        <f t="shared" si="5"/>
        <v>0</v>
      </c>
      <c r="G17" s="250">
        <f t="shared" si="5"/>
        <v>0</v>
      </c>
      <c r="H17" s="250">
        <f t="shared" si="5"/>
        <v>0</v>
      </c>
      <c r="I17" s="250">
        <f t="shared" si="5"/>
        <v>0</v>
      </c>
      <c r="J17" s="250">
        <f t="shared" si="5"/>
        <v>0</v>
      </c>
      <c r="K17" s="250">
        <f t="shared" si="5"/>
        <v>0</v>
      </c>
      <c r="L17" s="250">
        <f t="shared" si="5"/>
        <v>0</v>
      </c>
      <c r="M17" s="250">
        <f t="shared" si="5"/>
        <v>0</v>
      </c>
      <c r="N17" s="250">
        <f t="shared" si="5"/>
        <v>0</v>
      </c>
      <c r="O17" s="250">
        <f t="shared" si="5"/>
        <v>0</v>
      </c>
      <c r="P17" s="250">
        <f t="shared" si="5"/>
        <v>0</v>
      </c>
      <c r="Q17" s="250">
        <f t="shared" si="5"/>
        <v>0</v>
      </c>
      <c r="R17" s="250">
        <f t="shared" si="5"/>
        <v>0</v>
      </c>
      <c r="S17" s="250">
        <f t="shared" si="5"/>
        <v>0</v>
      </c>
      <c r="T17" s="250">
        <f t="shared" si="5"/>
        <v>0</v>
      </c>
      <c r="U17" s="250">
        <f t="shared" si="5"/>
        <v>0</v>
      </c>
      <c r="V17" s="250">
        <f t="shared" si="5"/>
        <v>0</v>
      </c>
      <c r="W17" s="250">
        <f t="shared" si="5"/>
        <v>0</v>
      </c>
      <c r="X17" s="250">
        <f t="shared" si="5"/>
        <v>0</v>
      </c>
      <c r="Y17" s="250">
        <f t="shared" si="5"/>
        <v>0</v>
      </c>
      <c r="Z17" s="250">
        <f t="shared" si="5"/>
        <v>0</v>
      </c>
      <c r="AA17" s="250">
        <f t="shared" si="5"/>
        <v>0</v>
      </c>
      <c r="AB17" s="250">
        <f t="shared" si="5"/>
        <v>0</v>
      </c>
      <c r="AC17" s="250">
        <f t="shared" si="5"/>
        <v>0</v>
      </c>
      <c r="AD17" s="250">
        <f t="shared" si="5"/>
        <v>0</v>
      </c>
      <c r="AE17" s="199"/>
    </row>
    <row r="18" spans="1:31" ht="15">
      <c r="A18" s="248"/>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199"/>
    </row>
    <row r="19" spans="1:31" ht="15">
      <c r="A19" s="248" t="s">
        <v>19</v>
      </c>
      <c r="B19" s="265">
        <f>Financiamiento!B18-Financiamiento!B19+'Valores de Inicio'!B22-'Valores de Inicio'!B62</f>
        <v>0</v>
      </c>
      <c r="C19" s="265">
        <f>Financiamiento!C18-Financiamiento!C19-'Valores de Inicio'!B62+B19</f>
        <v>0</v>
      </c>
      <c r="D19" s="265">
        <f>Financiamiento!D18-Financiamiento!D19-'Valores de Inicio'!C62+C19</f>
        <v>0</v>
      </c>
      <c r="E19" s="265">
        <f>Financiamiento!E18-Financiamiento!E19-'Valores de Inicio'!D62+D19</f>
        <v>0</v>
      </c>
      <c r="F19" s="265">
        <f>Financiamiento!F18-Financiamiento!F19-'Valores de Inicio'!E62+E19</f>
        <v>0</v>
      </c>
      <c r="G19" s="265">
        <f>Financiamiento!G18-Financiamiento!G19-'Valores de Inicio'!F62+F19</f>
        <v>0</v>
      </c>
      <c r="H19" s="265">
        <f>Financiamiento!H18-Financiamiento!H19-'Valores de Inicio'!G62+G19</f>
        <v>0</v>
      </c>
      <c r="I19" s="265">
        <f>Financiamiento!I18-Financiamiento!I19-'Valores de Inicio'!H62+H19</f>
        <v>0</v>
      </c>
      <c r="J19" s="265">
        <f>Financiamiento!J18-Financiamiento!J19-'Valores de Inicio'!I62+I19</f>
        <v>0</v>
      </c>
      <c r="K19" s="265">
        <f>Financiamiento!K18-Financiamiento!K19-'Valores de Inicio'!J62+J19</f>
        <v>0</v>
      </c>
      <c r="L19" s="265">
        <f>Financiamiento!L18-Financiamiento!L19-'Valores de Inicio'!K62+K19</f>
        <v>0</v>
      </c>
      <c r="M19" s="265">
        <f>Financiamiento!M18-Financiamiento!M19-'Valores de Inicio'!L62+L19</f>
        <v>0</v>
      </c>
      <c r="N19" s="265">
        <f>M19</f>
        <v>0</v>
      </c>
      <c r="O19" s="265">
        <f>Financiamiento!O18-Financiamiento!O19-'Valores de Inicio'!O62+N19</f>
        <v>0</v>
      </c>
      <c r="P19" s="265">
        <f>Financiamiento!P18-Financiamiento!P19-'Valores de Inicio'!P62+O19</f>
        <v>0</v>
      </c>
      <c r="Q19" s="265">
        <f>Financiamiento!Q18-Financiamiento!Q19-'Valores de Inicio'!Q62+P19</f>
        <v>0</v>
      </c>
      <c r="R19" s="265">
        <f>Financiamiento!R18-Financiamiento!R19-'Valores de Inicio'!R62+Q19</f>
        <v>0</v>
      </c>
      <c r="S19" s="265">
        <f>Financiamiento!S18-Financiamiento!S19-'Valores de Inicio'!S62+R19</f>
        <v>0</v>
      </c>
      <c r="T19" s="265">
        <f>Financiamiento!T18-Financiamiento!T19-'Valores de Inicio'!T62+S19</f>
        <v>0</v>
      </c>
      <c r="U19" s="265">
        <f>Financiamiento!U18-Financiamiento!U19-'Valores de Inicio'!U62+T19</f>
        <v>0</v>
      </c>
      <c r="V19" s="265">
        <f>Financiamiento!V18-Financiamiento!V19-'Valores de Inicio'!V62+U19</f>
        <v>0</v>
      </c>
      <c r="W19" s="265">
        <f>Financiamiento!W18-Financiamiento!W19-'Valores de Inicio'!W62+V19</f>
        <v>0</v>
      </c>
      <c r="X19" s="265">
        <f>Financiamiento!X18-Financiamiento!X19-'Valores de Inicio'!X62+W19</f>
        <v>0</v>
      </c>
      <c r="Y19" s="265">
        <f>Financiamiento!Y18-Financiamiento!Y19-'Valores de Inicio'!Y62+X19</f>
        <v>0</v>
      </c>
      <c r="Z19" s="265">
        <f>Financiamiento!Z18-Financiamiento!Z19-'Valores de Inicio'!Z62+Y19</f>
        <v>0</v>
      </c>
      <c r="AA19" s="265">
        <f>Z19</f>
        <v>0</v>
      </c>
      <c r="AB19" s="265">
        <f>Financiamiento!AB18-Financiamiento!AB19-'Valores de Inicio'!AB62+AA19</f>
        <v>0</v>
      </c>
      <c r="AC19" s="265">
        <f>Financiamiento!AC18-Financiamiento!AC19-'Valores de Inicio'!AC62+AB19</f>
        <v>0</v>
      </c>
      <c r="AD19" s="265">
        <f>Financiamiento!AD18-Financiamiento!AD19-'Valores de Inicio'!AD62+AC19</f>
        <v>0</v>
      </c>
      <c r="AE19" s="199"/>
    </row>
    <row r="20" spans="1:31" ht="15">
      <c r="A20" s="250" t="s">
        <v>209</v>
      </c>
      <c r="B20" s="250">
        <f aca="true" t="shared" si="6" ref="B20:AD20">B19</f>
        <v>0</v>
      </c>
      <c r="C20" s="250">
        <f t="shared" si="6"/>
        <v>0</v>
      </c>
      <c r="D20" s="250">
        <f t="shared" si="6"/>
        <v>0</v>
      </c>
      <c r="E20" s="250">
        <f t="shared" si="6"/>
        <v>0</v>
      </c>
      <c r="F20" s="250">
        <f t="shared" si="6"/>
        <v>0</v>
      </c>
      <c r="G20" s="250">
        <f t="shared" si="6"/>
        <v>0</v>
      </c>
      <c r="H20" s="250">
        <f t="shared" si="6"/>
        <v>0</v>
      </c>
      <c r="I20" s="250">
        <f t="shared" si="6"/>
        <v>0</v>
      </c>
      <c r="J20" s="250">
        <f t="shared" si="6"/>
        <v>0</v>
      </c>
      <c r="K20" s="250">
        <f t="shared" si="6"/>
        <v>0</v>
      </c>
      <c r="L20" s="250">
        <f t="shared" si="6"/>
        <v>0</v>
      </c>
      <c r="M20" s="250">
        <f t="shared" si="6"/>
        <v>0</v>
      </c>
      <c r="N20" s="250">
        <f t="shared" si="6"/>
        <v>0</v>
      </c>
      <c r="O20" s="250">
        <f t="shared" si="6"/>
        <v>0</v>
      </c>
      <c r="P20" s="250">
        <f t="shared" si="6"/>
        <v>0</v>
      </c>
      <c r="Q20" s="250">
        <f t="shared" si="6"/>
        <v>0</v>
      </c>
      <c r="R20" s="250">
        <f t="shared" si="6"/>
        <v>0</v>
      </c>
      <c r="S20" s="250">
        <f t="shared" si="6"/>
        <v>0</v>
      </c>
      <c r="T20" s="250">
        <f t="shared" si="6"/>
        <v>0</v>
      </c>
      <c r="U20" s="250">
        <f t="shared" si="6"/>
        <v>0</v>
      </c>
      <c r="V20" s="250">
        <f t="shared" si="6"/>
        <v>0</v>
      </c>
      <c r="W20" s="250">
        <f t="shared" si="6"/>
        <v>0</v>
      </c>
      <c r="X20" s="250">
        <f t="shared" si="6"/>
        <v>0</v>
      </c>
      <c r="Y20" s="250">
        <f t="shared" si="6"/>
        <v>0</v>
      </c>
      <c r="Z20" s="250">
        <f t="shared" si="6"/>
        <v>0</v>
      </c>
      <c r="AA20" s="250">
        <f t="shared" si="6"/>
        <v>0</v>
      </c>
      <c r="AB20" s="250">
        <f t="shared" si="6"/>
        <v>0</v>
      </c>
      <c r="AC20" s="250">
        <f t="shared" si="6"/>
        <v>0</v>
      </c>
      <c r="AD20" s="250">
        <f t="shared" si="6"/>
        <v>0</v>
      </c>
      <c r="AE20" s="199"/>
    </row>
    <row r="21" spans="1:31" ht="15">
      <c r="A21" s="248"/>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199"/>
    </row>
    <row r="22" spans="1:31" ht="15">
      <c r="A22" s="248" t="s">
        <v>199</v>
      </c>
      <c r="B22" s="248">
        <f>'Flujo de Caja'!B23+'Flujo de Caja'!B24+'Valores de Inicio'!B25+'Valores de Inicio'!B26</f>
        <v>35500</v>
      </c>
      <c r="C22" s="248">
        <f>'Flujo de Caja'!C23+'Flujo de Caja'!C24+B22</f>
        <v>35500</v>
      </c>
      <c r="D22" s="248">
        <f>'Flujo de Caja'!D23+'Flujo de Caja'!D24+C22</f>
        <v>35500</v>
      </c>
      <c r="E22" s="248">
        <f>'Flujo de Caja'!E23+'Flujo de Caja'!E24+D22</f>
        <v>35500</v>
      </c>
      <c r="F22" s="248">
        <f>'Flujo de Caja'!F23+'Flujo de Caja'!F24+E22</f>
        <v>35500</v>
      </c>
      <c r="G22" s="248">
        <f>'Flujo de Caja'!G23+'Flujo de Caja'!G24+F22</f>
        <v>35500</v>
      </c>
      <c r="H22" s="248">
        <f>'Flujo de Caja'!H23+'Flujo de Caja'!H24+G22</f>
        <v>35500</v>
      </c>
      <c r="I22" s="248">
        <f>'Flujo de Caja'!I23+'Flujo de Caja'!I24+H22</f>
        <v>35500</v>
      </c>
      <c r="J22" s="248">
        <f>'Flujo de Caja'!J23+'Flujo de Caja'!J24+I22</f>
        <v>35500</v>
      </c>
      <c r="K22" s="248">
        <f>'Flujo de Caja'!K23+'Flujo de Caja'!K24+J22</f>
        <v>35500</v>
      </c>
      <c r="L22" s="248">
        <f>'Flujo de Caja'!L23+'Flujo de Caja'!L24+K22</f>
        <v>35500</v>
      </c>
      <c r="M22" s="248">
        <f>'Flujo de Caja'!M23+'Flujo de Caja'!M24+L22</f>
        <v>33500</v>
      </c>
      <c r="N22" s="248">
        <f>M22</f>
        <v>33500</v>
      </c>
      <c r="O22" s="248">
        <f>'Flujo de Caja'!O23+'Flujo de Caja'!O24+N22</f>
        <v>38500</v>
      </c>
      <c r="P22" s="248">
        <f>'Flujo de Caja'!P23+'Flujo de Caja'!P24+O22</f>
        <v>38500</v>
      </c>
      <c r="Q22" s="248">
        <f>'Flujo de Caja'!Q23+'Flujo de Caja'!Q24+P22</f>
        <v>38500</v>
      </c>
      <c r="R22" s="248">
        <f>'Flujo de Caja'!R23+'Flujo de Caja'!R24+Q22</f>
        <v>38500</v>
      </c>
      <c r="S22" s="248">
        <f>'Flujo de Caja'!S23+'Flujo de Caja'!S24+R22</f>
        <v>38500</v>
      </c>
      <c r="T22" s="248">
        <f>'Flujo de Caja'!T23+'Flujo de Caja'!T24+S22</f>
        <v>38500</v>
      </c>
      <c r="U22" s="248">
        <f>'Flujo de Caja'!U23+'Flujo de Caja'!U24+T22</f>
        <v>38500</v>
      </c>
      <c r="V22" s="248">
        <f>'Flujo de Caja'!V23+'Flujo de Caja'!V24+U22</f>
        <v>38500</v>
      </c>
      <c r="W22" s="248">
        <f>'Flujo de Caja'!W23+'Flujo de Caja'!W24+V22</f>
        <v>38500</v>
      </c>
      <c r="X22" s="248">
        <f>'Flujo de Caja'!X23+'Flujo de Caja'!X24+W22</f>
        <v>38500</v>
      </c>
      <c r="Y22" s="248">
        <f>'Flujo de Caja'!Y23+'Flujo de Caja'!Y24+X22</f>
        <v>38500</v>
      </c>
      <c r="Z22" s="248">
        <f>'Flujo de Caja'!Z23+'Flujo de Caja'!Z24+Y22</f>
        <v>35500</v>
      </c>
      <c r="AA22" s="248">
        <f>Z22</f>
        <v>35500</v>
      </c>
      <c r="AB22" s="248">
        <f>'Flujo de Caja'!AB23+'Flujo de Caja'!AB24+AA22</f>
        <v>30500</v>
      </c>
      <c r="AC22" s="248">
        <f>'Flujo de Caja'!AC23+'Flujo de Caja'!AC24+AB22</f>
        <v>23500</v>
      </c>
      <c r="AD22" s="248">
        <f>'Flujo de Caja'!AD23+'Flujo de Caja'!AD24+AC22</f>
        <v>14500</v>
      </c>
      <c r="AE22" s="199"/>
    </row>
    <row r="23" spans="1:31" ht="15">
      <c r="A23" s="248" t="s">
        <v>205</v>
      </c>
      <c r="B23" s="248">
        <f>'Estado Resultados'!B17+'Valores de Inicio'!B27</f>
        <v>3247.3888888888887</v>
      </c>
      <c r="C23" s="248">
        <f>'Estado Resultados'!C17+B23</f>
        <v>3744.7777777777774</v>
      </c>
      <c r="D23" s="248">
        <f>'Estado Resultados'!D17+C23</f>
        <v>4242.166666666666</v>
      </c>
      <c r="E23" s="248">
        <f>'Estado Resultados'!E17+D23</f>
        <v>4739.555555555555</v>
      </c>
      <c r="F23" s="248">
        <f>'Estado Resultados'!F17+E23</f>
        <v>5236.944444444443</v>
      </c>
      <c r="G23" s="248">
        <f>'Estado Resultados'!G17+F23</f>
        <v>5734.333333333332</v>
      </c>
      <c r="H23" s="248">
        <f>'Estado Resultados'!H17+G23</f>
        <v>6231.722222222221</v>
      </c>
      <c r="I23" s="248">
        <f>'Estado Resultados'!I17+H23</f>
        <v>6729.1111111111095</v>
      </c>
      <c r="J23" s="248">
        <f>'Estado Resultados'!J17+I23</f>
        <v>7226.499999999998</v>
      </c>
      <c r="K23" s="248">
        <f>'Estado Resultados'!K17+J23</f>
        <v>7723.888888888887</v>
      </c>
      <c r="L23" s="248">
        <f>'Estado Resultados'!L17+K23</f>
        <v>8221.277777777776</v>
      </c>
      <c r="M23" s="248">
        <f>'Estado Resultados'!M17+L23</f>
        <v>8718.666666666664</v>
      </c>
      <c r="N23" s="248">
        <f>M23</f>
        <v>8718.666666666664</v>
      </c>
      <c r="O23" s="248">
        <f>'Estado Resultados'!O17+N23</f>
        <v>9938.465277777776</v>
      </c>
      <c r="P23" s="248">
        <f>'Estado Resultados'!P17+O23</f>
        <v>11158.263888888887</v>
      </c>
      <c r="Q23" s="248">
        <f>'Estado Resultados'!Q17+P23</f>
        <v>12378.062499999998</v>
      </c>
      <c r="R23" s="248">
        <f>'Estado Resultados'!R17+Q23</f>
        <v>13597.86111111111</v>
      </c>
      <c r="S23" s="248">
        <f>'Estado Resultados'!S17+R23</f>
        <v>14817.65972222222</v>
      </c>
      <c r="T23" s="248">
        <f>'Estado Resultados'!T17+S23</f>
        <v>16037.458333333332</v>
      </c>
      <c r="U23" s="248">
        <f>'Estado Resultados'!U17+T23</f>
        <v>17257.25694444444</v>
      </c>
      <c r="V23" s="248">
        <f>'Estado Resultados'!V17+U23</f>
        <v>18477.05555555555</v>
      </c>
      <c r="W23" s="248">
        <f>'Estado Resultados'!W17+V23</f>
        <v>19696.85416666666</v>
      </c>
      <c r="X23" s="248">
        <f>'Estado Resultados'!X17+W23</f>
        <v>20916.65277777777</v>
      </c>
      <c r="Y23" s="248">
        <f>'Estado Resultados'!Y17+X23</f>
        <v>22136.45138888888</v>
      </c>
      <c r="Z23" s="248">
        <f>'Estado Resultados'!Z17+Y23</f>
        <v>23356.24999999999</v>
      </c>
      <c r="AA23" s="248">
        <f>Z23</f>
        <v>23356.24999999999</v>
      </c>
      <c r="AB23" s="248">
        <f>'Estado Resultados'!AB17+AA23</f>
        <v>41129.83333333332</v>
      </c>
      <c r="AC23" s="248">
        <f>'Estado Resultados'!AC17+AB23</f>
        <v>59494.21666666665</v>
      </c>
      <c r="AD23" s="248">
        <f>'Estado Resultados'!AD17+AC23</f>
        <v>84724.20000000001</v>
      </c>
      <c r="AE23" s="199"/>
    </row>
    <row r="24" spans="1:31" ht="15">
      <c r="A24" s="250" t="s">
        <v>105</v>
      </c>
      <c r="B24" s="250">
        <f aca="true" t="shared" si="7" ref="B24:AD24">SUM(B22:B23)</f>
        <v>38747.38888888889</v>
      </c>
      <c r="C24" s="250">
        <f t="shared" si="7"/>
        <v>39244.77777777778</v>
      </c>
      <c r="D24" s="250">
        <f t="shared" si="7"/>
        <v>39742.166666666664</v>
      </c>
      <c r="E24" s="250">
        <f t="shared" si="7"/>
        <v>40239.555555555555</v>
      </c>
      <c r="F24" s="250">
        <f t="shared" si="7"/>
        <v>40736.944444444445</v>
      </c>
      <c r="G24" s="250">
        <f t="shared" si="7"/>
        <v>41234.33333333333</v>
      </c>
      <c r="H24" s="250">
        <f t="shared" si="7"/>
        <v>41731.72222222222</v>
      </c>
      <c r="I24" s="250">
        <f t="shared" si="7"/>
        <v>42229.11111111111</v>
      </c>
      <c r="J24" s="250">
        <f t="shared" si="7"/>
        <v>42726.5</v>
      </c>
      <c r="K24" s="250">
        <f t="shared" si="7"/>
        <v>43223.88888888889</v>
      </c>
      <c r="L24" s="250">
        <f t="shared" si="7"/>
        <v>43721.277777777774</v>
      </c>
      <c r="M24" s="250">
        <f t="shared" si="7"/>
        <v>42218.666666666664</v>
      </c>
      <c r="N24" s="250">
        <f t="shared" si="7"/>
        <v>42218.666666666664</v>
      </c>
      <c r="O24" s="250">
        <f t="shared" si="7"/>
        <v>48438.465277777774</v>
      </c>
      <c r="P24" s="250">
        <f t="shared" si="7"/>
        <v>49658.26388888889</v>
      </c>
      <c r="Q24" s="250">
        <f t="shared" si="7"/>
        <v>50878.0625</v>
      </c>
      <c r="R24" s="250">
        <f t="shared" si="7"/>
        <v>52097.86111111111</v>
      </c>
      <c r="S24" s="250">
        <f t="shared" si="7"/>
        <v>53317.65972222222</v>
      </c>
      <c r="T24" s="250">
        <f t="shared" si="7"/>
        <v>54537.45833333333</v>
      </c>
      <c r="U24" s="250">
        <f t="shared" si="7"/>
        <v>55757.25694444444</v>
      </c>
      <c r="V24" s="250">
        <f t="shared" si="7"/>
        <v>56977.05555555555</v>
      </c>
      <c r="W24" s="250">
        <f t="shared" si="7"/>
        <v>58196.85416666666</v>
      </c>
      <c r="X24" s="250">
        <f t="shared" si="7"/>
        <v>59416.65277777777</v>
      </c>
      <c r="Y24" s="250">
        <f t="shared" si="7"/>
        <v>60636.451388888876</v>
      </c>
      <c r="Z24" s="250">
        <f t="shared" si="7"/>
        <v>58856.249999999985</v>
      </c>
      <c r="AA24" s="250">
        <f t="shared" si="7"/>
        <v>58856.249999999985</v>
      </c>
      <c r="AB24" s="250">
        <f t="shared" si="7"/>
        <v>71629.83333333331</v>
      </c>
      <c r="AC24" s="250">
        <f t="shared" si="7"/>
        <v>82994.21666666665</v>
      </c>
      <c r="AD24" s="250">
        <f t="shared" si="7"/>
        <v>99224.20000000001</v>
      </c>
      <c r="AE24" s="199"/>
    </row>
    <row r="25" spans="1:31" ht="15">
      <c r="A25" s="146" t="s">
        <v>177</v>
      </c>
      <c r="B25" s="146">
        <f aca="true" t="shared" si="8" ref="B25:AD25">B17+B20+B24</f>
        <v>38747.38888888889</v>
      </c>
      <c r="C25" s="146">
        <f t="shared" si="8"/>
        <v>39244.77777777778</v>
      </c>
      <c r="D25" s="146">
        <f t="shared" si="8"/>
        <v>39742.166666666664</v>
      </c>
      <c r="E25" s="146">
        <f t="shared" si="8"/>
        <v>40239.555555555555</v>
      </c>
      <c r="F25" s="146">
        <f t="shared" si="8"/>
        <v>40736.944444444445</v>
      </c>
      <c r="G25" s="146">
        <f t="shared" si="8"/>
        <v>41234.33333333333</v>
      </c>
      <c r="H25" s="146">
        <f t="shared" si="8"/>
        <v>41731.72222222222</v>
      </c>
      <c r="I25" s="146">
        <f t="shared" si="8"/>
        <v>42229.11111111111</v>
      </c>
      <c r="J25" s="146">
        <f t="shared" si="8"/>
        <v>42726.5</v>
      </c>
      <c r="K25" s="146">
        <f t="shared" si="8"/>
        <v>43223.88888888889</v>
      </c>
      <c r="L25" s="146">
        <f t="shared" si="8"/>
        <v>43721.277777777774</v>
      </c>
      <c r="M25" s="146">
        <f t="shared" si="8"/>
        <v>42218.666666666664</v>
      </c>
      <c r="N25" s="146">
        <f t="shared" si="8"/>
        <v>42218.666666666664</v>
      </c>
      <c r="O25" s="146">
        <f t="shared" si="8"/>
        <v>48438.465277777774</v>
      </c>
      <c r="P25" s="146">
        <f t="shared" si="8"/>
        <v>49658.26388888889</v>
      </c>
      <c r="Q25" s="146">
        <f t="shared" si="8"/>
        <v>50878.0625</v>
      </c>
      <c r="R25" s="146">
        <f t="shared" si="8"/>
        <v>52097.86111111111</v>
      </c>
      <c r="S25" s="146">
        <f t="shared" si="8"/>
        <v>53317.65972222222</v>
      </c>
      <c r="T25" s="146">
        <f t="shared" si="8"/>
        <v>54537.45833333333</v>
      </c>
      <c r="U25" s="146">
        <f t="shared" si="8"/>
        <v>55757.25694444444</v>
      </c>
      <c r="V25" s="146">
        <f t="shared" si="8"/>
        <v>56977.05555555555</v>
      </c>
      <c r="W25" s="146">
        <f t="shared" si="8"/>
        <v>58196.85416666666</v>
      </c>
      <c r="X25" s="146">
        <f t="shared" si="8"/>
        <v>59416.65277777777</v>
      </c>
      <c r="Y25" s="146">
        <f t="shared" si="8"/>
        <v>60636.451388888876</v>
      </c>
      <c r="Z25" s="146">
        <f t="shared" si="8"/>
        <v>58856.249999999985</v>
      </c>
      <c r="AA25" s="146">
        <f t="shared" si="8"/>
        <v>58856.249999999985</v>
      </c>
      <c r="AB25" s="146">
        <f t="shared" si="8"/>
        <v>71629.83333333331</v>
      </c>
      <c r="AC25" s="146">
        <f t="shared" si="8"/>
        <v>82994.21666666665</v>
      </c>
      <c r="AD25" s="146">
        <f t="shared" si="8"/>
        <v>99224.20000000001</v>
      </c>
      <c r="AE25" s="199"/>
    </row>
    <row r="26" spans="1:31" ht="15">
      <c r="A26" s="276"/>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199"/>
    </row>
    <row r="27" spans="1:31" s="123" customFormat="1" ht="11.25" hidden="1">
      <c r="A27" s="184" t="s">
        <v>223</v>
      </c>
      <c r="B27" s="185" t="str">
        <f aca="true" t="shared" si="9" ref="B27:AD27">IF(ROUND(B12-B25,0)=0,"-",B12-B25)</f>
        <v>-</v>
      </c>
      <c r="C27" s="185" t="str">
        <f t="shared" si="9"/>
        <v>-</v>
      </c>
      <c r="D27" s="185" t="str">
        <f t="shared" si="9"/>
        <v>-</v>
      </c>
      <c r="E27" s="185" t="str">
        <f t="shared" si="9"/>
        <v>-</v>
      </c>
      <c r="F27" s="185" t="str">
        <f t="shared" si="9"/>
        <v>-</v>
      </c>
      <c r="G27" s="185" t="str">
        <f t="shared" si="9"/>
        <v>-</v>
      </c>
      <c r="H27" s="185" t="str">
        <f t="shared" si="9"/>
        <v>-</v>
      </c>
      <c r="I27" s="185" t="str">
        <f t="shared" si="9"/>
        <v>-</v>
      </c>
      <c r="J27" s="185" t="str">
        <f t="shared" si="9"/>
        <v>-</v>
      </c>
      <c r="K27" s="185" t="str">
        <f t="shared" si="9"/>
        <v>-</v>
      </c>
      <c r="L27" s="185" t="str">
        <f t="shared" si="9"/>
        <v>-</v>
      </c>
      <c r="M27" s="185" t="str">
        <f t="shared" si="9"/>
        <v>-</v>
      </c>
      <c r="N27" s="185" t="str">
        <f t="shared" si="9"/>
        <v>-</v>
      </c>
      <c r="O27" s="185" t="str">
        <f t="shared" si="9"/>
        <v>-</v>
      </c>
      <c r="P27" s="185" t="str">
        <f t="shared" si="9"/>
        <v>-</v>
      </c>
      <c r="Q27" s="185" t="str">
        <f t="shared" si="9"/>
        <v>-</v>
      </c>
      <c r="R27" s="185" t="str">
        <f t="shared" si="9"/>
        <v>-</v>
      </c>
      <c r="S27" s="185" t="str">
        <f t="shared" si="9"/>
        <v>-</v>
      </c>
      <c r="T27" s="185" t="str">
        <f t="shared" si="9"/>
        <v>-</v>
      </c>
      <c r="U27" s="185" t="str">
        <f t="shared" si="9"/>
        <v>-</v>
      </c>
      <c r="V27" s="185" t="str">
        <f t="shared" si="9"/>
        <v>-</v>
      </c>
      <c r="W27" s="185" t="str">
        <f t="shared" si="9"/>
        <v>-</v>
      </c>
      <c r="X27" s="185" t="str">
        <f t="shared" si="9"/>
        <v>-</v>
      </c>
      <c r="Y27" s="185" t="str">
        <f t="shared" si="9"/>
        <v>-</v>
      </c>
      <c r="Z27" s="185" t="str">
        <f t="shared" si="9"/>
        <v>-</v>
      </c>
      <c r="AA27" s="185" t="str">
        <f t="shared" si="9"/>
        <v>-</v>
      </c>
      <c r="AB27" s="185" t="str">
        <f t="shared" si="9"/>
        <v>-</v>
      </c>
      <c r="AC27" s="185" t="str">
        <f t="shared" si="9"/>
        <v>-</v>
      </c>
      <c r="AD27" s="185" t="str">
        <f t="shared" si="9"/>
        <v>-</v>
      </c>
      <c r="AE27" s="185"/>
    </row>
    <row r="28" spans="1:31" ht="12.75">
      <c r="A28" s="182"/>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45"/>
    </row>
    <row r="29" spans="1:31" ht="12.75">
      <c r="A29" s="182"/>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45"/>
    </row>
  </sheetData>
  <sheetProtection/>
  <printOptions/>
  <pageMargins left="0.7" right="0.7" top="0.75" bottom="0.75" header="0.3" footer="0.3"/>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A1:AE36"/>
  <sheetViews>
    <sheetView showGridLines="0"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AE18" sqref="AE18"/>
    </sheetView>
  </sheetViews>
  <sheetFormatPr defaultColWidth="11.7109375" defaultRowHeight="12.75" outlineLevelCol="1"/>
  <cols>
    <col min="1" max="1" width="42.8515625" style="132"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1" width="13.7109375" style="0" customWidth="1"/>
  </cols>
  <sheetData>
    <row r="1" spans="1:31" ht="15.75" customHeight="1">
      <c r="A1" s="141" t="str">
        <f>"FLUJO DE CAJA ACUMULADO ("&amp;Introducción!E17&amp;")"</f>
        <v>FLUJO DE CAJA ACUMULADO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49"/>
    </row>
    <row r="2" spans="1:31" ht="12.75">
      <c r="A2" s="178"/>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49"/>
    </row>
    <row r="3" spans="1:30" s="19" customFormat="1" ht="17.25">
      <c r="A3" s="174" t="s">
        <v>18</v>
      </c>
      <c r="B3" s="174">
        <f>'Flujo de Caja'!$B$3</f>
        <v>3500</v>
      </c>
      <c r="C3" s="174">
        <f>'Flujo de Caja'!$B$3</f>
        <v>3500</v>
      </c>
      <c r="D3" s="174">
        <f>'Flujo de Caja'!$B$3</f>
        <v>3500</v>
      </c>
      <c r="E3" s="174">
        <f>'Flujo de Caja'!$B$3</f>
        <v>3500</v>
      </c>
      <c r="F3" s="174">
        <f>'Flujo de Caja'!$B$3</f>
        <v>3500</v>
      </c>
      <c r="G3" s="174">
        <f>'Flujo de Caja'!$B$3</f>
        <v>3500</v>
      </c>
      <c r="H3" s="174">
        <f>'Flujo de Caja'!$B$3</f>
        <v>3500</v>
      </c>
      <c r="I3" s="174">
        <f>'Flujo de Caja'!$B$3</f>
        <v>3500</v>
      </c>
      <c r="J3" s="174">
        <f>'Flujo de Caja'!$B$3</f>
        <v>3500</v>
      </c>
      <c r="K3" s="174">
        <f>'Flujo de Caja'!$B$3</f>
        <v>3500</v>
      </c>
      <c r="L3" s="174">
        <f>'Flujo de Caja'!$B$3</f>
        <v>3500</v>
      </c>
      <c r="M3" s="174">
        <f>'Flujo de Caja'!$B$3</f>
        <v>3500</v>
      </c>
      <c r="N3" s="174">
        <f>'Flujo de Caja'!$B$3</f>
        <v>3500</v>
      </c>
      <c r="O3" s="174">
        <f>'Flujo de Caja'!$B$3</f>
        <v>3500</v>
      </c>
      <c r="P3" s="174">
        <f>'Flujo de Caja'!$B$3</f>
        <v>3500</v>
      </c>
      <c r="Q3" s="174">
        <f>'Flujo de Caja'!$B$3</f>
        <v>3500</v>
      </c>
      <c r="R3" s="174">
        <f>'Flujo de Caja'!$B$3</f>
        <v>3500</v>
      </c>
      <c r="S3" s="174">
        <f>'Flujo de Caja'!$B$3</f>
        <v>3500</v>
      </c>
      <c r="T3" s="174">
        <f>'Flujo de Caja'!$B$3</f>
        <v>3500</v>
      </c>
      <c r="U3" s="174">
        <f>'Flujo de Caja'!$B$3</f>
        <v>3500</v>
      </c>
      <c r="V3" s="174">
        <f>'Flujo de Caja'!$B$3</f>
        <v>3500</v>
      </c>
      <c r="W3" s="174">
        <f>'Flujo de Caja'!$B$3</f>
        <v>3500</v>
      </c>
      <c r="X3" s="174">
        <f>'Flujo de Caja'!$B$3</f>
        <v>3500</v>
      </c>
      <c r="Y3" s="174">
        <f>'Flujo de Caja'!$B$3</f>
        <v>3500</v>
      </c>
      <c r="Z3" s="174">
        <f>'Flujo de Caja'!$B$3</f>
        <v>3500</v>
      </c>
      <c r="AA3" s="174">
        <f>'Flujo de Caja'!$B$3</f>
        <v>3500</v>
      </c>
      <c r="AB3" s="174">
        <f>'Flujo de Caja'!$B$3</f>
        <v>3500</v>
      </c>
      <c r="AC3" s="174">
        <f>'Flujo de Caja'!$B$3</f>
        <v>3500</v>
      </c>
      <c r="AD3" s="174">
        <f>'Flujo de Caja'!$B$3</f>
        <v>3500</v>
      </c>
    </row>
    <row r="4" spans="1:31" ht="15">
      <c r="A4" s="277"/>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49"/>
    </row>
    <row r="5" spans="1:30" ht="15">
      <c r="A5" s="264" t="s">
        <v>46</v>
      </c>
      <c r="B5" s="265">
        <f>'Flujo de Caja'!B5</f>
        <v>14000</v>
      </c>
      <c r="C5" s="265">
        <f>'Flujo de Caja'!C5+B5</f>
        <v>28000</v>
      </c>
      <c r="D5" s="265">
        <f>'Flujo de Caja'!D5+C5</f>
        <v>42000</v>
      </c>
      <c r="E5" s="265">
        <f>'Flujo de Caja'!E5+D5</f>
        <v>56000</v>
      </c>
      <c r="F5" s="265">
        <f>'Flujo de Caja'!F5+E5</f>
        <v>70000</v>
      </c>
      <c r="G5" s="265">
        <f>'Flujo de Caja'!G5+F5</f>
        <v>84000</v>
      </c>
      <c r="H5" s="265">
        <f>'Flujo de Caja'!H5+G5</f>
        <v>98000</v>
      </c>
      <c r="I5" s="265">
        <f>'Flujo de Caja'!I5+H5</f>
        <v>112000</v>
      </c>
      <c r="J5" s="265">
        <f>'Flujo de Caja'!J5+I5</f>
        <v>126000</v>
      </c>
      <c r="K5" s="265">
        <f>'Flujo de Caja'!K5+J5</f>
        <v>140000</v>
      </c>
      <c r="L5" s="265">
        <f>'Flujo de Caja'!L5+K5</f>
        <v>154000</v>
      </c>
      <c r="M5" s="265">
        <f>'Flujo de Caja'!M5+L5</f>
        <v>168000</v>
      </c>
      <c r="N5" s="265">
        <f aca="true" t="shared" si="2" ref="N5:N10">M5</f>
        <v>168000</v>
      </c>
      <c r="O5" s="265">
        <f>'Flujo de Caja'!O5+N5</f>
        <v>186750</v>
      </c>
      <c r="P5" s="265">
        <f>'Flujo de Caja'!P5+O5</f>
        <v>205500</v>
      </c>
      <c r="Q5" s="265">
        <f>'Flujo de Caja'!Q5+P5</f>
        <v>224250</v>
      </c>
      <c r="R5" s="265">
        <f>'Flujo de Caja'!R5+Q5</f>
        <v>243000</v>
      </c>
      <c r="S5" s="265">
        <f>'Flujo de Caja'!S5+R5</f>
        <v>261750</v>
      </c>
      <c r="T5" s="265">
        <f>'Flujo de Caja'!T5+S5</f>
        <v>280500</v>
      </c>
      <c r="U5" s="265">
        <f>'Flujo de Caja'!U5+T5</f>
        <v>299250</v>
      </c>
      <c r="V5" s="265">
        <f>'Flujo de Caja'!V5+U5</f>
        <v>318000</v>
      </c>
      <c r="W5" s="265">
        <f>'Flujo de Caja'!W5+V5</f>
        <v>336750</v>
      </c>
      <c r="X5" s="265">
        <f>'Flujo de Caja'!X5+W5</f>
        <v>355500</v>
      </c>
      <c r="Y5" s="265">
        <f>'Flujo de Caja'!Y5+X5</f>
        <v>374250</v>
      </c>
      <c r="Z5" s="265">
        <f>'Flujo de Caja'!Z5+Y5</f>
        <v>393000</v>
      </c>
      <c r="AA5" s="265">
        <f aca="true" t="shared" si="3" ref="AA5:AA10">Z5</f>
        <v>393000</v>
      </c>
      <c r="AB5" s="265">
        <f>'Flujo de Caja'!AB5+AA5</f>
        <v>641220</v>
      </c>
      <c r="AC5" s="265">
        <f>'Flujo de Caja'!AC5+AB5</f>
        <v>930670</v>
      </c>
      <c r="AD5" s="265">
        <f>'Flujo de Caja'!AD5+AC5</f>
        <v>1295230</v>
      </c>
    </row>
    <row r="6" spans="1:30" ht="15">
      <c r="A6" s="264" t="s">
        <v>188</v>
      </c>
      <c r="B6" s="265">
        <f>'Flujo de Caja'!B6</f>
        <v>-10000</v>
      </c>
      <c r="C6" s="265">
        <f>'Flujo de Caja'!C6+B6</f>
        <v>-20000</v>
      </c>
      <c r="D6" s="265">
        <f>'Flujo de Caja'!D6+C6</f>
        <v>-30000</v>
      </c>
      <c r="E6" s="265">
        <f>'Flujo de Caja'!E6+D6</f>
        <v>-40000</v>
      </c>
      <c r="F6" s="265">
        <f>'Flujo de Caja'!F6+E6</f>
        <v>-50000</v>
      </c>
      <c r="G6" s="265">
        <f>'Flujo de Caja'!G6+F6</f>
        <v>-60000</v>
      </c>
      <c r="H6" s="265">
        <f>'Flujo de Caja'!H6+G6</f>
        <v>-70000</v>
      </c>
      <c r="I6" s="265">
        <f>'Flujo de Caja'!I6+H6</f>
        <v>-80000</v>
      </c>
      <c r="J6" s="265">
        <f>'Flujo de Caja'!J6+I6</f>
        <v>-90000</v>
      </c>
      <c r="K6" s="265">
        <f>'Flujo de Caja'!K6+J6</f>
        <v>-100000</v>
      </c>
      <c r="L6" s="265">
        <f>'Flujo de Caja'!L6+K6</f>
        <v>-110000</v>
      </c>
      <c r="M6" s="265">
        <f>'Flujo de Caja'!M6+L6</f>
        <v>-120000</v>
      </c>
      <c r="N6" s="265">
        <f t="shared" si="2"/>
        <v>-120000</v>
      </c>
      <c r="O6" s="265">
        <f>'Flujo de Caja'!O6+N6</f>
        <v>-133500</v>
      </c>
      <c r="P6" s="265">
        <f>'Flujo de Caja'!P6+O6</f>
        <v>-147000</v>
      </c>
      <c r="Q6" s="265">
        <f>'Flujo de Caja'!Q6+P6</f>
        <v>-160500</v>
      </c>
      <c r="R6" s="265">
        <f>'Flujo de Caja'!R6+Q6</f>
        <v>-174000</v>
      </c>
      <c r="S6" s="265">
        <f>'Flujo de Caja'!S6+R6</f>
        <v>-187500</v>
      </c>
      <c r="T6" s="265">
        <f>'Flujo de Caja'!T6+S6</f>
        <v>-201000</v>
      </c>
      <c r="U6" s="265">
        <f>'Flujo de Caja'!U6+T6</f>
        <v>-214500</v>
      </c>
      <c r="V6" s="265">
        <f>'Flujo de Caja'!V6+U6</f>
        <v>-228000</v>
      </c>
      <c r="W6" s="265">
        <f>'Flujo de Caja'!W6+V6</f>
        <v>-241500</v>
      </c>
      <c r="X6" s="265">
        <f>'Flujo de Caja'!X6+W6</f>
        <v>-255000</v>
      </c>
      <c r="Y6" s="265">
        <f>'Flujo de Caja'!Y6+X6</f>
        <v>-268500</v>
      </c>
      <c r="Z6" s="265">
        <f>'Flujo de Caja'!Z6+Y6</f>
        <v>-282000</v>
      </c>
      <c r="AA6" s="265">
        <f t="shared" si="3"/>
        <v>-282000</v>
      </c>
      <c r="AB6" s="265">
        <f>'Flujo de Caja'!AB6+AA6</f>
        <v>-460290</v>
      </c>
      <c r="AC6" s="265">
        <f>'Flujo de Caja'!AC6+AB6</f>
        <v>-667490</v>
      </c>
      <c r="AD6" s="265">
        <f>'Flujo de Caja'!AD6+AC6</f>
        <v>-927470</v>
      </c>
    </row>
    <row r="7" spans="1:30" ht="15">
      <c r="A7" s="264" t="s">
        <v>154</v>
      </c>
      <c r="B7" s="265">
        <f>'Flujo de Caja'!B7</f>
        <v>-2500</v>
      </c>
      <c r="C7" s="265">
        <f>'Flujo de Caja'!C7+B7</f>
        <v>-5000</v>
      </c>
      <c r="D7" s="265">
        <f>'Flujo de Caja'!D7+C7</f>
        <v>-7500</v>
      </c>
      <c r="E7" s="265">
        <f>'Flujo de Caja'!E7+D7</f>
        <v>-10000</v>
      </c>
      <c r="F7" s="265">
        <f>'Flujo de Caja'!F7+E7</f>
        <v>-12500</v>
      </c>
      <c r="G7" s="265">
        <f>'Flujo de Caja'!G7+F7</f>
        <v>-15000</v>
      </c>
      <c r="H7" s="265">
        <f>'Flujo de Caja'!H7+G7</f>
        <v>-17500</v>
      </c>
      <c r="I7" s="265">
        <f>'Flujo de Caja'!I7+H7</f>
        <v>-20000</v>
      </c>
      <c r="J7" s="265">
        <f>'Flujo de Caja'!J7+I7</f>
        <v>-22500</v>
      </c>
      <c r="K7" s="265">
        <f>'Flujo de Caja'!K7+J7</f>
        <v>-25000</v>
      </c>
      <c r="L7" s="265">
        <f>'Flujo de Caja'!L7+K7</f>
        <v>-27500</v>
      </c>
      <c r="M7" s="265">
        <f>'Flujo de Caja'!M7+L7</f>
        <v>-30000</v>
      </c>
      <c r="N7" s="265">
        <f t="shared" si="2"/>
        <v>-30000</v>
      </c>
      <c r="O7" s="265">
        <f>'Flujo de Caja'!O7+N7</f>
        <v>-32550</v>
      </c>
      <c r="P7" s="265">
        <f>'Flujo de Caja'!P7+O7</f>
        <v>-35100</v>
      </c>
      <c r="Q7" s="265">
        <f>'Flujo de Caja'!Q7+P7</f>
        <v>-37650</v>
      </c>
      <c r="R7" s="265">
        <f>'Flujo de Caja'!R7+Q7</f>
        <v>-40200</v>
      </c>
      <c r="S7" s="265">
        <f>'Flujo de Caja'!S7+R7</f>
        <v>-42750</v>
      </c>
      <c r="T7" s="265">
        <f>'Flujo de Caja'!T7+S7</f>
        <v>-45300</v>
      </c>
      <c r="U7" s="265">
        <f>'Flujo de Caja'!U7+T7</f>
        <v>-47850</v>
      </c>
      <c r="V7" s="265">
        <f>'Flujo de Caja'!V7+U7</f>
        <v>-50400</v>
      </c>
      <c r="W7" s="265">
        <f>'Flujo de Caja'!W7+V7</f>
        <v>-52950</v>
      </c>
      <c r="X7" s="265">
        <f>'Flujo de Caja'!X7+W7</f>
        <v>-55500</v>
      </c>
      <c r="Y7" s="265">
        <f>'Flujo de Caja'!Y7+X7</f>
        <v>-58050</v>
      </c>
      <c r="Z7" s="265">
        <f>'Flujo de Caja'!Z7+Y7</f>
        <v>-60600</v>
      </c>
      <c r="AA7" s="265">
        <f t="shared" si="3"/>
        <v>-60600</v>
      </c>
      <c r="AB7" s="265">
        <f>'Flujo de Caja'!AB7+AA7</f>
        <v>-92730</v>
      </c>
      <c r="AC7" s="265">
        <f>'Flujo de Caja'!AC7+AB7</f>
        <v>-135728</v>
      </c>
      <c r="AD7" s="265">
        <f>'Flujo de Caja'!AD7+AC7</f>
        <v>-190600</v>
      </c>
    </row>
    <row r="8" spans="1:30" ht="15">
      <c r="A8" s="264" t="s">
        <v>164</v>
      </c>
      <c r="B8" s="265">
        <f>'Flujo de Caja'!B8</f>
        <v>-750</v>
      </c>
      <c r="C8" s="265">
        <f>'Flujo de Caja'!C8+B8</f>
        <v>-1500</v>
      </c>
      <c r="D8" s="265">
        <f>'Flujo de Caja'!D8+C8</f>
        <v>-2250</v>
      </c>
      <c r="E8" s="265">
        <f>'Flujo de Caja'!E8+D8</f>
        <v>-3000</v>
      </c>
      <c r="F8" s="265">
        <f>'Flujo de Caja'!F8+E8</f>
        <v>-3750</v>
      </c>
      <c r="G8" s="265">
        <f>'Flujo de Caja'!G8+F8</f>
        <v>-4500</v>
      </c>
      <c r="H8" s="265">
        <f>'Flujo de Caja'!H8+G8</f>
        <v>-5250</v>
      </c>
      <c r="I8" s="265">
        <f>'Flujo de Caja'!I8+H8</f>
        <v>-6000</v>
      </c>
      <c r="J8" s="265">
        <f>'Flujo de Caja'!J8+I8</f>
        <v>-6750</v>
      </c>
      <c r="K8" s="265">
        <f>'Flujo de Caja'!K8+J8</f>
        <v>-7500</v>
      </c>
      <c r="L8" s="265">
        <f>'Flujo de Caja'!L8+K8</f>
        <v>-8250</v>
      </c>
      <c r="M8" s="265">
        <f>'Flujo de Caja'!M8+L8</f>
        <v>-9000</v>
      </c>
      <c r="N8" s="265">
        <f t="shared" si="2"/>
        <v>-9000</v>
      </c>
      <c r="O8" s="265">
        <f>'Flujo de Caja'!O8+N8</f>
        <v>-9800</v>
      </c>
      <c r="P8" s="265">
        <f>'Flujo de Caja'!P8+O8</f>
        <v>-10600</v>
      </c>
      <c r="Q8" s="265">
        <f>'Flujo de Caja'!Q8+P8</f>
        <v>-11400</v>
      </c>
      <c r="R8" s="265">
        <f>'Flujo de Caja'!R8+Q8</f>
        <v>-12200</v>
      </c>
      <c r="S8" s="265">
        <f>'Flujo de Caja'!S8+R8</f>
        <v>-13000</v>
      </c>
      <c r="T8" s="265">
        <f>'Flujo de Caja'!T8+S8</f>
        <v>-13800</v>
      </c>
      <c r="U8" s="265">
        <f>'Flujo de Caja'!U8+T8</f>
        <v>-14600</v>
      </c>
      <c r="V8" s="265">
        <f>'Flujo de Caja'!V8+U8</f>
        <v>-15400</v>
      </c>
      <c r="W8" s="265">
        <f>'Flujo de Caja'!W8+V8</f>
        <v>-16200</v>
      </c>
      <c r="X8" s="265">
        <f>'Flujo de Caja'!X8+W8</f>
        <v>-17000</v>
      </c>
      <c r="Y8" s="265">
        <f>'Flujo de Caja'!Y8+X8</f>
        <v>-17800</v>
      </c>
      <c r="Z8" s="265">
        <f>'Flujo de Caja'!Z8+Y8</f>
        <v>-18600</v>
      </c>
      <c r="AA8" s="265">
        <f t="shared" si="3"/>
        <v>-18600</v>
      </c>
      <c r="AB8" s="265">
        <f>'Flujo de Caja'!AB8+AA8</f>
        <v>-28770</v>
      </c>
      <c r="AC8" s="265">
        <f>'Flujo de Caja'!AC8+AB8</f>
        <v>-39548</v>
      </c>
      <c r="AD8" s="265">
        <f>'Flujo de Caja'!AD8+AC8</f>
        <v>-50974</v>
      </c>
    </row>
    <row r="9" spans="1:30" ht="15">
      <c r="A9" s="264" t="s">
        <v>56</v>
      </c>
      <c r="B9" s="265">
        <f>'Flujo de Caja'!B9</f>
        <v>-124.34722222222223</v>
      </c>
      <c r="C9" s="265">
        <f>'Flujo de Caja'!C9+B9</f>
        <v>-248.69444444444446</v>
      </c>
      <c r="D9" s="265">
        <f>'Flujo de Caja'!D9+C9</f>
        <v>-373.0416666666667</v>
      </c>
      <c r="E9" s="265">
        <f>'Flujo de Caja'!E9+D9</f>
        <v>-497.3888888888889</v>
      </c>
      <c r="F9" s="265">
        <f>'Flujo de Caja'!F9+E9</f>
        <v>-621.7361111111111</v>
      </c>
      <c r="G9" s="265">
        <f>'Flujo de Caja'!G9+F9</f>
        <v>-746.0833333333333</v>
      </c>
      <c r="H9" s="265">
        <f>'Flujo de Caja'!H9+G9</f>
        <v>-870.4305555555554</v>
      </c>
      <c r="I9" s="265">
        <f>'Flujo de Caja'!I9+H9</f>
        <v>-994.7777777777776</v>
      </c>
      <c r="J9" s="265">
        <f>'Flujo de Caja'!J9+I9</f>
        <v>-1119.1249999999998</v>
      </c>
      <c r="K9" s="265">
        <f>'Flujo de Caja'!K9+J9</f>
        <v>-1243.472222222222</v>
      </c>
      <c r="L9" s="265">
        <f>'Flujo de Caja'!L9+K9</f>
        <v>-1367.8194444444441</v>
      </c>
      <c r="M9" s="265">
        <f>'Flujo de Caja'!M9+L9</f>
        <v>-1492.1666666666663</v>
      </c>
      <c r="N9" s="265">
        <f t="shared" si="2"/>
        <v>-1492.1666666666663</v>
      </c>
      <c r="O9" s="265">
        <f>'Flujo de Caja'!O9+N9</f>
        <v>-2014.9374999999995</v>
      </c>
      <c r="P9" s="265">
        <f>'Flujo de Caja'!P9+O9</f>
        <v>-2537.708333333333</v>
      </c>
      <c r="Q9" s="265">
        <f>'Flujo de Caja'!Q9+P9</f>
        <v>-3060.479166666666</v>
      </c>
      <c r="R9" s="265">
        <f>'Flujo de Caja'!R9+Q9</f>
        <v>-3583.249999999999</v>
      </c>
      <c r="S9" s="265">
        <f>'Flujo de Caja'!S9+R9</f>
        <v>-4106.020833333332</v>
      </c>
      <c r="T9" s="265">
        <f>'Flujo de Caja'!T9+S9</f>
        <v>-4628.791666666665</v>
      </c>
      <c r="U9" s="265">
        <f>'Flujo de Caja'!U9+T9</f>
        <v>-5151.562499999998</v>
      </c>
      <c r="V9" s="265">
        <f>'Flujo de Caja'!V9+U9</f>
        <v>-5674.333333333331</v>
      </c>
      <c r="W9" s="265">
        <f>'Flujo de Caja'!W9+V9</f>
        <v>-6197.104166666664</v>
      </c>
      <c r="X9" s="265">
        <f>'Flujo de Caja'!X9+W9</f>
        <v>-6719.874999999997</v>
      </c>
      <c r="Y9" s="265">
        <f>'Flujo de Caja'!Y9+X9</f>
        <v>-7242.64583333333</v>
      </c>
      <c r="Z9" s="265">
        <f>'Flujo de Caja'!Z9+Y9</f>
        <v>-7765.416666666663</v>
      </c>
      <c r="AA9" s="265">
        <f t="shared" si="3"/>
        <v>-7765.416666666663</v>
      </c>
      <c r="AB9" s="265">
        <f>'Flujo de Caja'!AB9+AA9</f>
        <v>-15382.666666666662</v>
      </c>
      <c r="AC9" s="265">
        <f>'Flujo de Caja'!AC9+AB9</f>
        <v>-23253.11666666666</v>
      </c>
      <c r="AD9" s="265">
        <f>'Flujo de Caja'!AD9+AC9</f>
        <v>-34065.966666666674</v>
      </c>
    </row>
    <row r="10" spans="1:30" ht="15">
      <c r="A10" s="264" t="s">
        <v>108</v>
      </c>
      <c r="B10" s="265">
        <f>'Flujo de Caja'!B10</f>
        <v>0</v>
      </c>
      <c r="C10" s="265">
        <f>'Flujo de Caja'!C10+B10</f>
        <v>0</v>
      </c>
      <c r="D10" s="265">
        <f>'Flujo de Caja'!D10+C10</f>
        <v>0</v>
      </c>
      <c r="E10" s="265">
        <f>'Flujo de Caja'!E10+D10</f>
        <v>0</v>
      </c>
      <c r="F10" s="265">
        <f>'Flujo de Caja'!F10+E10</f>
        <v>0</v>
      </c>
      <c r="G10" s="265">
        <f>'Flujo de Caja'!G10+F10</f>
        <v>0</v>
      </c>
      <c r="H10" s="265">
        <f>'Flujo de Caja'!H10+G10</f>
        <v>0</v>
      </c>
      <c r="I10" s="265">
        <f>'Flujo de Caja'!I10+H10</f>
        <v>0</v>
      </c>
      <c r="J10" s="265">
        <f>'Flujo de Caja'!J10+I10</f>
        <v>0</v>
      </c>
      <c r="K10" s="265">
        <f>'Flujo de Caja'!K10+J10</f>
        <v>0</v>
      </c>
      <c r="L10" s="265">
        <f>'Flujo de Caja'!L10+K10</f>
        <v>0</v>
      </c>
      <c r="M10" s="265">
        <f>'Flujo de Caja'!M10+L10</f>
        <v>0</v>
      </c>
      <c r="N10" s="265">
        <f t="shared" si="2"/>
        <v>0</v>
      </c>
      <c r="O10" s="265">
        <f>'Flujo de Caja'!O10+N10</f>
        <v>0</v>
      </c>
      <c r="P10" s="265">
        <f>'Flujo de Caja'!P10+O10</f>
        <v>0</v>
      </c>
      <c r="Q10" s="265">
        <f>'Flujo de Caja'!Q10+P10</f>
        <v>0</v>
      </c>
      <c r="R10" s="265">
        <f>'Flujo de Caja'!R10+Q10</f>
        <v>0</v>
      </c>
      <c r="S10" s="265">
        <f>'Flujo de Caja'!S10+R10</f>
        <v>0</v>
      </c>
      <c r="T10" s="265">
        <f>'Flujo de Caja'!T10+S10</f>
        <v>0</v>
      </c>
      <c r="U10" s="265">
        <f>'Flujo de Caja'!U10+T10</f>
        <v>0</v>
      </c>
      <c r="V10" s="265">
        <f>'Flujo de Caja'!V10+U10</f>
        <v>0</v>
      </c>
      <c r="W10" s="265">
        <f>'Flujo de Caja'!W10+V10</f>
        <v>0</v>
      </c>
      <c r="X10" s="265">
        <f>'Flujo de Caja'!X10+W10</f>
        <v>0</v>
      </c>
      <c r="Y10" s="265">
        <f>'Flujo de Caja'!Y10+X10</f>
        <v>0</v>
      </c>
      <c r="Z10" s="265">
        <f>'Flujo de Caja'!Z10+Y10</f>
        <v>0</v>
      </c>
      <c r="AA10" s="265">
        <f t="shared" si="3"/>
        <v>0</v>
      </c>
      <c r="AB10" s="265">
        <f>'Flujo de Caja'!AB10+AA10</f>
        <v>0</v>
      </c>
      <c r="AC10" s="265">
        <f>'Flujo de Caja'!AC10+AB10</f>
        <v>0</v>
      </c>
      <c r="AD10" s="265">
        <f>'Flujo de Caja'!AD10+AC10</f>
        <v>0</v>
      </c>
    </row>
    <row r="11" spans="1:30" s="14" customFormat="1" ht="15">
      <c r="A11" s="266" t="s">
        <v>123</v>
      </c>
      <c r="B11" s="267">
        <f aca="true" t="shared" si="4" ref="B11:AD11">SUM(B5:B10)</f>
        <v>625.6527777777778</v>
      </c>
      <c r="C11" s="267">
        <f t="shared" si="4"/>
        <v>1251.3055555555557</v>
      </c>
      <c r="D11" s="267">
        <f t="shared" si="4"/>
        <v>1876.9583333333333</v>
      </c>
      <c r="E11" s="267">
        <f t="shared" si="4"/>
        <v>2502.6111111111113</v>
      </c>
      <c r="F11" s="267">
        <f t="shared" si="4"/>
        <v>3128.2638888888887</v>
      </c>
      <c r="G11" s="267">
        <f t="shared" si="4"/>
        <v>3753.916666666667</v>
      </c>
      <c r="H11" s="267">
        <f t="shared" si="4"/>
        <v>4379.569444444444</v>
      </c>
      <c r="I11" s="267">
        <f t="shared" si="4"/>
        <v>5005.222222222223</v>
      </c>
      <c r="J11" s="267">
        <f t="shared" si="4"/>
        <v>5630.875</v>
      </c>
      <c r="K11" s="267">
        <f t="shared" si="4"/>
        <v>6256.527777777778</v>
      </c>
      <c r="L11" s="267">
        <f t="shared" si="4"/>
        <v>6882.180555555556</v>
      </c>
      <c r="M11" s="267">
        <f t="shared" si="4"/>
        <v>7507.833333333334</v>
      </c>
      <c r="N11" s="267">
        <f t="shared" si="4"/>
        <v>7507.833333333334</v>
      </c>
      <c r="O11" s="267">
        <f t="shared" si="4"/>
        <v>8885.0625</v>
      </c>
      <c r="P11" s="267">
        <f t="shared" si="4"/>
        <v>10262.291666666668</v>
      </c>
      <c r="Q11" s="267">
        <f t="shared" si="4"/>
        <v>11639.520833333334</v>
      </c>
      <c r="R11" s="267">
        <f t="shared" si="4"/>
        <v>13016.75</v>
      </c>
      <c r="S11" s="267">
        <f t="shared" si="4"/>
        <v>14393.979166666668</v>
      </c>
      <c r="T11" s="267">
        <f t="shared" si="4"/>
        <v>15771.208333333336</v>
      </c>
      <c r="U11" s="267">
        <f t="shared" si="4"/>
        <v>17148.4375</v>
      </c>
      <c r="V11" s="267">
        <f t="shared" si="4"/>
        <v>18525.666666666668</v>
      </c>
      <c r="W11" s="267">
        <f t="shared" si="4"/>
        <v>19902.895833333336</v>
      </c>
      <c r="X11" s="267">
        <f t="shared" si="4"/>
        <v>21280.125000000004</v>
      </c>
      <c r="Y11" s="267">
        <f t="shared" si="4"/>
        <v>22657.35416666667</v>
      </c>
      <c r="Z11" s="267">
        <f t="shared" si="4"/>
        <v>24034.583333333336</v>
      </c>
      <c r="AA11" s="267">
        <f t="shared" si="4"/>
        <v>24034.583333333336</v>
      </c>
      <c r="AB11" s="267">
        <f t="shared" si="4"/>
        <v>44047.333333333336</v>
      </c>
      <c r="AC11" s="267">
        <f t="shared" si="4"/>
        <v>64650.88333333334</v>
      </c>
      <c r="AD11" s="267">
        <f t="shared" si="4"/>
        <v>92120.03333333333</v>
      </c>
    </row>
    <row r="12" spans="1:30" ht="15">
      <c r="A12" s="268"/>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row>
    <row r="13" spans="1:30" ht="15">
      <c r="A13" s="264" t="s">
        <v>7</v>
      </c>
      <c r="B13" s="265">
        <f>'Flujo de Caja'!B13</f>
        <v>0</v>
      </c>
      <c r="C13" s="265">
        <f>'Flujo de Caja'!C13+B13</f>
        <v>0</v>
      </c>
      <c r="D13" s="265">
        <f>'Flujo de Caja'!D13+C13</f>
        <v>0</v>
      </c>
      <c r="E13" s="265">
        <f>'Flujo de Caja'!E13+D13</f>
        <v>0</v>
      </c>
      <c r="F13" s="265">
        <f>'Flujo de Caja'!F13+E13</f>
        <v>0</v>
      </c>
      <c r="G13" s="265">
        <f>'Flujo de Caja'!G13+F13</f>
        <v>0</v>
      </c>
      <c r="H13" s="265">
        <f>'Flujo de Caja'!H13+G13</f>
        <v>0</v>
      </c>
      <c r="I13" s="265">
        <f>'Flujo de Caja'!I13+H13</f>
        <v>0</v>
      </c>
      <c r="J13" s="265">
        <f>'Flujo de Caja'!J13+I13</f>
        <v>0</v>
      </c>
      <c r="K13" s="265">
        <f>'Flujo de Caja'!K13+J13</f>
        <v>0</v>
      </c>
      <c r="L13" s="265">
        <f>'Flujo de Caja'!L13+K13</f>
        <v>0</v>
      </c>
      <c r="M13" s="265">
        <f>'Flujo de Caja'!M13+L13</f>
        <v>0</v>
      </c>
      <c r="N13" s="265">
        <f>M13</f>
        <v>0</v>
      </c>
      <c r="O13" s="265">
        <f>'Flujo de Caja'!O13+N13</f>
        <v>0</v>
      </c>
      <c r="P13" s="265">
        <f>'Flujo de Caja'!P13+O13</f>
        <v>0</v>
      </c>
      <c r="Q13" s="265">
        <f>'Flujo de Caja'!Q13+P13</f>
        <v>0</v>
      </c>
      <c r="R13" s="265">
        <f>'Flujo de Caja'!R13+Q13</f>
        <v>0</v>
      </c>
      <c r="S13" s="265">
        <f>'Flujo de Caja'!S13+R13</f>
        <v>0</v>
      </c>
      <c r="T13" s="265">
        <f>'Flujo de Caja'!T13+S13</f>
        <v>0</v>
      </c>
      <c r="U13" s="265">
        <f>'Flujo de Caja'!U13+T13</f>
        <v>0</v>
      </c>
      <c r="V13" s="265">
        <f>'Flujo de Caja'!V13+U13</f>
        <v>0</v>
      </c>
      <c r="W13" s="265">
        <f>'Flujo de Caja'!W13+V13</f>
        <v>0</v>
      </c>
      <c r="X13" s="265">
        <f>'Flujo de Caja'!X13+W13</f>
        <v>0</v>
      </c>
      <c r="Y13" s="265">
        <f>'Flujo de Caja'!Y13+X13</f>
        <v>0</v>
      </c>
      <c r="Z13" s="265">
        <f>'Flujo de Caja'!Z13+Y13</f>
        <v>0</v>
      </c>
      <c r="AA13" s="265">
        <f>Z13</f>
        <v>0</v>
      </c>
      <c r="AB13" s="265">
        <f>'Flujo de Caja'!AB13+AA13</f>
        <v>0</v>
      </c>
      <c r="AC13" s="265">
        <f>'Flujo de Caja'!AC13+AB13</f>
        <v>0</v>
      </c>
      <c r="AD13" s="265">
        <f>'Flujo de Caja'!AD13+AC13</f>
        <v>0</v>
      </c>
    </row>
    <row r="14" spans="1:30" ht="15">
      <c r="A14" s="264" t="s">
        <v>4</v>
      </c>
      <c r="B14" s="265">
        <f>'Flujo de Caja'!B14</f>
        <v>0</v>
      </c>
      <c r="C14" s="265">
        <f>'Flujo de Caja'!C14+B14</f>
        <v>0</v>
      </c>
      <c r="D14" s="265">
        <f>'Flujo de Caja'!D14+C14</f>
        <v>0</v>
      </c>
      <c r="E14" s="265">
        <f>'Flujo de Caja'!E14+D14</f>
        <v>0</v>
      </c>
      <c r="F14" s="265">
        <f>'Flujo de Caja'!F14+E14</f>
        <v>0</v>
      </c>
      <c r="G14" s="265">
        <f>'Flujo de Caja'!G14+F14</f>
        <v>0</v>
      </c>
      <c r="H14" s="265">
        <f>'Flujo de Caja'!H14+G14</f>
        <v>0</v>
      </c>
      <c r="I14" s="265">
        <f>'Flujo de Caja'!I14+H14</f>
        <v>0</v>
      </c>
      <c r="J14" s="265">
        <f>'Flujo de Caja'!J14+I14</f>
        <v>0</v>
      </c>
      <c r="K14" s="265">
        <f>'Flujo de Caja'!K14+J14</f>
        <v>0</v>
      </c>
      <c r="L14" s="265">
        <f>'Flujo de Caja'!L14+K14</f>
        <v>0</v>
      </c>
      <c r="M14" s="265">
        <f>'Flujo de Caja'!M14+L14</f>
        <v>0</v>
      </c>
      <c r="N14" s="265">
        <f>M14</f>
        <v>0</v>
      </c>
      <c r="O14" s="265">
        <f>'Flujo de Caja'!O14+N14</f>
        <v>0</v>
      </c>
      <c r="P14" s="265">
        <f>'Flujo de Caja'!P14+O14</f>
        <v>0</v>
      </c>
      <c r="Q14" s="265">
        <f>'Flujo de Caja'!Q14+P14</f>
        <v>0</v>
      </c>
      <c r="R14" s="265">
        <f>'Flujo de Caja'!R14+Q14</f>
        <v>0</v>
      </c>
      <c r="S14" s="265">
        <f>'Flujo de Caja'!S14+R14</f>
        <v>0</v>
      </c>
      <c r="T14" s="265">
        <f>'Flujo de Caja'!T14+S14</f>
        <v>0</v>
      </c>
      <c r="U14" s="265">
        <f>'Flujo de Caja'!U14+T14</f>
        <v>0</v>
      </c>
      <c r="V14" s="265">
        <f>'Flujo de Caja'!V14+U14</f>
        <v>0</v>
      </c>
      <c r="W14" s="265">
        <f>'Flujo de Caja'!W14+V14</f>
        <v>0</v>
      </c>
      <c r="X14" s="265">
        <f>'Flujo de Caja'!X14+W14</f>
        <v>0</v>
      </c>
      <c r="Y14" s="265">
        <f>'Flujo de Caja'!Y14+X14</f>
        <v>0</v>
      </c>
      <c r="Z14" s="265">
        <f>'Flujo de Caja'!Z14+Y14</f>
        <v>0</v>
      </c>
      <c r="AA14" s="265">
        <f>Z14</f>
        <v>0</v>
      </c>
      <c r="AB14" s="265">
        <f>'Flujo de Caja'!AB14+AA14</f>
        <v>0</v>
      </c>
      <c r="AC14" s="265">
        <f>'Flujo de Caja'!AC14+AB14</f>
        <v>0</v>
      </c>
      <c r="AD14" s="265">
        <f>'Flujo de Caja'!AD14+AC14</f>
        <v>0</v>
      </c>
    </row>
    <row r="15" spans="1:30" ht="15">
      <c r="A15" s="264" t="s">
        <v>109</v>
      </c>
      <c r="B15" s="265">
        <f>'Flujo de Caja'!B15</f>
        <v>0</v>
      </c>
      <c r="C15" s="265">
        <f>'Flujo de Caja'!C15+B15</f>
        <v>0</v>
      </c>
      <c r="D15" s="265">
        <f>'Flujo de Caja'!D15+C15</f>
        <v>0</v>
      </c>
      <c r="E15" s="265">
        <f>'Flujo de Caja'!E15+D15</f>
        <v>0</v>
      </c>
      <c r="F15" s="265">
        <f>'Flujo de Caja'!F15+E15</f>
        <v>0</v>
      </c>
      <c r="G15" s="265">
        <f>'Flujo de Caja'!G15+F15</f>
        <v>0</v>
      </c>
      <c r="H15" s="265">
        <f>'Flujo de Caja'!H15+G15</f>
        <v>0</v>
      </c>
      <c r="I15" s="265">
        <f>'Flujo de Caja'!I15+H15</f>
        <v>0</v>
      </c>
      <c r="J15" s="265">
        <f>'Flujo de Caja'!J15+I15</f>
        <v>0</v>
      </c>
      <c r="K15" s="265">
        <f>'Flujo de Caja'!K15+J15</f>
        <v>0</v>
      </c>
      <c r="L15" s="265">
        <f>'Flujo de Caja'!L15+K15</f>
        <v>0</v>
      </c>
      <c r="M15" s="265">
        <f>'Flujo de Caja'!M15+L15</f>
        <v>0</v>
      </c>
      <c r="N15" s="265">
        <f>M15</f>
        <v>0</v>
      </c>
      <c r="O15" s="265">
        <f>'Flujo de Caja'!O15+N15</f>
        <v>0</v>
      </c>
      <c r="P15" s="265">
        <f>'Flujo de Caja'!P15+O15</f>
        <v>0</v>
      </c>
      <c r="Q15" s="265">
        <f>'Flujo de Caja'!Q15+P15</f>
        <v>0</v>
      </c>
      <c r="R15" s="265">
        <f>'Flujo de Caja'!R15+Q15</f>
        <v>0</v>
      </c>
      <c r="S15" s="265">
        <f>'Flujo de Caja'!S15+R15</f>
        <v>0</v>
      </c>
      <c r="T15" s="265">
        <f>'Flujo de Caja'!T15+S15</f>
        <v>0</v>
      </c>
      <c r="U15" s="265">
        <f>'Flujo de Caja'!U15+T15</f>
        <v>0</v>
      </c>
      <c r="V15" s="265">
        <f>'Flujo de Caja'!V15+U15</f>
        <v>0</v>
      </c>
      <c r="W15" s="265">
        <f>'Flujo de Caja'!W15+V15</f>
        <v>0</v>
      </c>
      <c r="X15" s="265">
        <f>'Flujo de Caja'!X15+W15</f>
        <v>0</v>
      </c>
      <c r="Y15" s="265">
        <f>'Flujo de Caja'!Y15+X15</f>
        <v>0</v>
      </c>
      <c r="Z15" s="265">
        <f>'Flujo de Caja'!Z15+Y15</f>
        <v>0</v>
      </c>
      <c r="AA15" s="265">
        <f>Z15</f>
        <v>0</v>
      </c>
      <c r="AB15" s="265">
        <f>'Flujo de Caja'!AB15+AA15</f>
        <v>0</v>
      </c>
      <c r="AC15" s="265">
        <f>'Flujo de Caja'!AC15+AB15</f>
        <v>0</v>
      </c>
      <c r="AD15" s="265">
        <f>'Flujo de Caja'!AD15+AC15</f>
        <v>0</v>
      </c>
    </row>
    <row r="16" spans="1:30" ht="15">
      <c r="A16" s="264" t="s">
        <v>49</v>
      </c>
      <c r="B16" s="265">
        <f>'Flujo de Caja'!B16</f>
        <v>0</v>
      </c>
      <c r="C16" s="265">
        <f>'Flujo de Caja'!C16+B16</f>
        <v>0</v>
      </c>
      <c r="D16" s="265">
        <f>'Flujo de Caja'!D16+C16</f>
        <v>0</v>
      </c>
      <c r="E16" s="265">
        <f>'Flujo de Caja'!E16+D16</f>
        <v>0</v>
      </c>
      <c r="F16" s="265">
        <f>'Flujo de Caja'!F16+E16</f>
        <v>0</v>
      </c>
      <c r="G16" s="265">
        <f>'Flujo de Caja'!G16+F16</f>
        <v>0</v>
      </c>
      <c r="H16" s="265">
        <f>'Flujo de Caja'!H16+G16</f>
        <v>0</v>
      </c>
      <c r="I16" s="265">
        <f>'Flujo de Caja'!I16+H16</f>
        <v>0</v>
      </c>
      <c r="J16" s="265">
        <f>'Flujo de Caja'!J16+I16</f>
        <v>0</v>
      </c>
      <c r="K16" s="265">
        <f>'Flujo de Caja'!K16+J16</f>
        <v>0</v>
      </c>
      <c r="L16" s="265">
        <f>'Flujo de Caja'!L16+K16</f>
        <v>0</v>
      </c>
      <c r="M16" s="265">
        <f>'Flujo de Caja'!M16+L16</f>
        <v>0</v>
      </c>
      <c r="N16" s="265">
        <f>M16</f>
        <v>0</v>
      </c>
      <c r="O16" s="265">
        <f>'Flujo de Caja'!O16+N16</f>
        <v>0</v>
      </c>
      <c r="P16" s="265">
        <f>'Flujo de Caja'!P16+O16</f>
        <v>0</v>
      </c>
      <c r="Q16" s="265">
        <f>'Flujo de Caja'!Q16+P16</f>
        <v>0</v>
      </c>
      <c r="R16" s="265">
        <f>'Flujo de Caja'!R16+Q16</f>
        <v>0</v>
      </c>
      <c r="S16" s="265">
        <f>'Flujo de Caja'!S16+R16</f>
        <v>0</v>
      </c>
      <c r="T16" s="265">
        <f>'Flujo de Caja'!T16+S16</f>
        <v>0</v>
      </c>
      <c r="U16" s="265">
        <f>'Flujo de Caja'!U16+T16</f>
        <v>0</v>
      </c>
      <c r="V16" s="265">
        <f>'Flujo de Caja'!V16+U16</f>
        <v>0</v>
      </c>
      <c r="W16" s="265">
        <f>'Flujo de Caja'!W16+V16</f>
        <v>0</v>
      </c>
      <c r="X16" s="265">
        <f>'Flujo de Caja'!X16+W16</f>
        <v>0</v>
      </c>
      <c r="Y16" s="265">
        <f>'Flujo de Caja'!Y16+X16</f>
        <v>0</v>
      </c>
      <c r="Z16" s="265">
        <f>'Flujo de Caja'!Z16+Y16</f>
        <v>0</v>
      </c>
      <c r="AA16" s="265">
        <f>Z16</f>
        <v>0</v>
      </c>
      <c r="AB16" s="265">
        <f>'Flujo de Caja'!AB16+AA16</f>
        <v>0</v>
      </c>
      <c r="AC16" s="265">
        <f>'Flujo de Caja'!AC16+AB16</f>
        <v>0</v>
      </c>
      <c r="AD16" s="265">
        <f>'Flujo de Caja'!AD16+AC16</f>
        <v>0</v>
      </c>
    </row>
    <row r="17" spans="1:30" s="14" customFormat="1" ht="15">
      <c r="A17" s="266" t="s">
        <v>124</v>
      </c>
      <c r="B17" s="267">
        <f aca="true" t="shared" si="5" ref="B17:AD17">SUM(B13:B16)</f>
        <v>0</v>
      </c>
      <c r="C17" s="267">
        <f t="shared" si="5"/>
        <v>0</v>
      </c>
      <c r="D17" s="267">
        <f t="shared" si="5"/>
        <v>0</v>
      </c>
      <c r="E17" s="267">
        <f t="shared" si="5"/>
        <v>0</v>
      </c>
      <c r="F17" s="267">
        <f t="shared" si="5"/>
        <v>0</v>
      </c>
      <c r="G17" s="267">
        <f t="shared" si="5"/>
        <v>0</v>
      </c>
      <c r="H17" s="267">
        <f t="shared" si="5"/>
        <v>0</v>
      </c>
      <c r="I17" s="267">
        <f t="shared" si="5"/>
        <v>0</v>
      </c>
      <c r="J17" s="267">
        <f t="shared" si="5"/>
        <v>0</v>
      </c>
      <c r="K17" s="267">
        <f t="shared" si="5"/>
        <v>0</v>
      </c>
      <c r="L17" s="267">
        <f t="shared" si="5"/>
        <v>0</v>
      </c>
      <c r="M17" s="267">
        <f t="shared" si="5"/>
        <v>0</v>
      </c>
      <c r="N17" s="267">
        <f t="shared" si="5"/>
        <v>0</v>
      </c>
      <c r="O17" s="267">
        <f t="shared" si="5"/>
        <v>0</v>
      </c>
      <c r="P17" s="267">
        <f t="shared" si="5"/>
        <v>0</v>
      </c>
      <c r="Q17" s="267">
        <f t="shared" si="5"/>
        <v>0</v>
      </c>
      <c r="R17" s="267">
        <f t="shared" si="5"/>
        <v>0</v>
      </c>
      <c r="S17" s="267">
        <f t="shared" si="5"/>
        <v>0</v>
      </c>
      <c r="T17" s="267">
        <f t="shared" si="5"/>
        <v>0</v>
      </c>
      <c r="U17" s="267">
        <f t="shared" si="5"/>
        <v>0</v>
      </c>
      <c r="V17" s="267">
        <f t="shared" si="5"/>
        <v>0</v>
      </c>
      <c r="W17" s="267">
        <f t="shared" si="5"/>
        <v>0</v>
      </c>
      <c r="X17" s="267">
        <f t="shared" si="5"/>
        <v>0</v>
      </c>
      <c r="Y17" s="267">
        <f t="shared" si="5"/>
        <v>0</v>
      </c>
      <c r="Z17" s="267">
        <f t="shared" si="5"/>
        <v>0</v>
      </c>
      <c r="AA17" s="267">
        <f t="shared" si="5"/>
        <v>0</v>
      </c>
      <c r="AB17" s="267">
        <f t="shared" si="5"/>
        <v>0</v>
      </c>
      <c r="AC17" s="267">
        <f t="shared" si="5"/>
        <v>0</v>
      </c>
      <c r="AD17" s="267">
        <f t="shared" si="5"/>
        <v>0</v>
      </c>
    </row>
    <row r="18" spans="1:30" ht="15">
      <c r="A18" s="268"/>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row>
    <row r="19" spans="1:30" s="14" customFormat="1" ht="15">
      <c r="A19" s="266" t="s">
        <v>76</v>
      </c>
      <c r="B19" s="267">
        <f>'Flujo de Caja'!B19</f>
        <v>-25500</v>
      </c>
      <c r="C19" s="267">
        <f>'Flujo de Caja'!C19+B19</f>
        <v>-25500</v>
      </c>
      <c r="D19" s="267">
        <f>'Flujo de Caja'!D19+C19</f>
        <v>-25500</v>
      </c>
      <c r="E19" s="267">
        <f>'Flujo de Caja'!E19+D19</f>
        <v>-25500</v>
      </c>
      <c r="F19" s="267">
        <f>'Flujo de Caja'!F19+E19</f>
        <v>-25500</v>
      </c>
      <c r="G19" s="267">
        <f>'Flujo de Caja'!G19+F19</f>
        <v>-25500</v>
      </c>
      <c r="H19" s="267">
        <f>'Flujo de Caja'!H19+G19</f>
        <v>-25500</v>
      </c>
      <c r="I19" s="267">
        <f>'Flujo de Caja'!I19+H19</f>
        <v>-25500</v>
      </c>
      <c r="J19" s="267">
        <f>'Flujo de Caja'!J19+I19</f>
        <v>-25500</v>
      </c>
      <c r="K19" s="267">
        <f>'Flujo de Caja'!K19+J19</f>
        <v>-25500</v>
      </c>
      <c r="L19" s="267">
        <f>'Flujo de Caja'!L19+K19</f>
        <v>-25500</v>
      </c>
      <c r="M19" s="267">
        <f>'Flujo de Caja'!M19+L19</f>
        <v>-25500</v>
      </c>
      <c r="N19" s="267">
        <f>M19</f>
        <v>-25500</v>
      </c>
      <c r="O19" s="267">
        <f>'Flujo de Caja'!O19+N19</f>
        <v>-32500</v>
      </c>
      <c r="P19" s="267">
        <f>'Flujo de Caja'!P19+O19</f>
        <v>-32500</v>
      </c>
      <c r="Q19" s="267">
        <f>'Flujo de Caja'!Q19+P19</f>
        <v>-32500</v>
      </c>
      <c r="R19" s="267">
        <f>'Flujo de Caja'!R19+Q19</f>
        <v>-32500</v>
      </c>
      <c r="S19" s="267">
        <f>'Flujo de Caja'!S19+R19</f>
        <v>-32500</v>
      </c>
      <c r="T19" s="267">
        <f>'Flujo de Caja'!T19+S19</f>
        <v>-32500</v>
      </c>
      <c r="U19" s="267">
        <f>'Flujo de Caja'!U19+T19</f>
        <v>-32500</v>
      </c>
      <c r="V19" s="267">
        <f>'Flujo de Caja'!V19+U19</f>
        <v>-32500</v>
      </c>
      <c r="W19" s="267">
        <f>'Flujo de Caja'!W19+V19</f>
        <v>-32500</v>
      </c>
      <c r="X19" s="267">
        <f>'Flujo de Caja'!X19+W19</f>
        <v>-32500</v>
      </c>
      <c r="Y19" s="267">
        <f>'Flujo de Caja'!Y19+X19</f>
        <v>-32500</v>
      </c>
      <c r="Z19" s="267">
        <f>'Flujo de Caja'!Z19+Y19</f>
        <v>-32500</v>
      </c>
      <c r="AA19" s="267">
        <f>Z19</f>
        <v>-32500</v>
      </c>
      <c r="AB19" s="267">
        <f>'Flujo de Caja'!AB19+AA19</f>
        <v>-39500</v>
      </c>
      <c r="AC19" s="267">
        <f>'Flujo de Caja'!AC19+AB19</f>
        <v>-39500</v>
      </c>
      <c r="AD19" s="267">
        <f>'Flujo de Caja'!AD19+AC19</f>
        <v>-39500</v>
      </c>
    </row>
    <row r="20" spans="1:30" ht="1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row>
    <row r="21" spans="1:30" ht="15">
      <c r="A21" s="146" t="s">
        <v>51</v>
      </c>
      <c r="B21" s="146">
        <f aca="true" t="shared" si="6" ref="B21:AD21">B11+B17+B19</f>
        <v>-24874.347222222223</v>
      </c>
      <c r="C21" s="146">
        <f t="shared" si="6"/>
        <v>-24248.694444444445</v>
      </c>
      <c r="D21" s="146">
        <f t="shared" si="6"/>
        <v>-23623.041666666668</v>
      </c>
      <c r="E21" s="146">
        <f t="shared" si="6"/>
        <v>-22997.38888888889</v>
      </c>
      <c r="F21" s="146">
        <f t="shared" si="6"/>
        <v>-22371.73611111111</v>
      </c>
      <c r="G21" s="146">
        <f t="shared" si="6"/>
        <v>-21746.083333333332</v>
      </c>
      <c r="H21" s="146">
        <f t="shared" si="6"/>
        <v>-21120.430555555555</v>
      </c>
      <c r="I21" s="146">
        <f t="shared" si="6"/>
        <v>-20494.777777777777</v>
      </c>
      <c r="J21" s="146">
        <f t="shared" si="6"/>
        <v>-19869.125</v>
      </c>
      <c r="K21" s="146">
        <f t="shared" si="6"/>
        <v>-19243.472222222223</v>
      </c>
      <c r="L21" s="146">
        <f t="shared" si="6"/>
        <v>-18617.819444444445</v>
      </c>
      <c r="M21" s="146">
        <f t="shared" si="6"/>
        <v>-17992.166666666664</v>
      </c>
      <c r="N21" s="146">
        <f t="shared" si="6"/>
        <v>-17992.166666666664</v>
      </c>
      <c r="O21" s="146">
        <f t="shared" si="6"/>
        <v>-23614.9375</v>
      </c>
      <c r="P21" s="146">
        <f t="shared" si="6"/>
        <v>-22237.708333333332</v>
      </c>
      <c r="Q21" s="146">
        <f t="shared" si="6"/>
        <v>-20860.479166666664</v>
      </c>
      <c r="R21" s="146">
        <f t="shared" si="6"/>
        <v>-19483.25</v>
      </c>
      <c r="S21" s="146">
        <f t="shared" si="6"/>
        <v>-18106.020833333332</v>
      </c>
      <c r="T21" s="146">
        <f t="shared" si="6"/>
        <v>-16728.791666666664</v>
      </c>
      <c r="U21" s="146">
        <f t="shared" si="6"/>
        <v>-15351.5625</v>
      </c>
      <c r="V21" s="146">
        <f t="shared" si="6"/>
        <v>-13974.333333333332</v>
      </c>
      <c r="W21" s="146">
        <f t="shared" si="6"/>
        <v>-12597.104166666664</v>
      </c>
      <c r="X21" s="146">
        <f t="shared" si="6"/>
        <v>-11219.874999999996</v>
      </c>
      <c r="Y21" s="146">
        <f t="shared" si="6"/>
        <v>-9842.645833333328</v>
      </c>
      <c r="Z21" s="146">
        <f t="shared" si="6"/>
        <v>-8465.416666666664</v>
      </c>
      <c r="AA21" s="146">
        <f t="shared" si="6"/>
        <v>-8465.416666666664</v>
      </c>
      <c r="AB21" s="146">
        <f t="shared" si="6"/>
        <v>4547.333333333336</v>
      </c>
      <c r="AC21" s="146">
        <f t="shared" si="6"/>
        <v>25150.88333333334</v>
      </c>
      <c r="AD21" s="146">
        <f t="shared" si="6"/>
        <v>52620.033333333326</v>
      </c>
    </row>
    <row r="22" spans="1:30" ht="15">
      <c r="A22" s="237"/>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row>
    <row r="23" spans="1:30" ht="15">
      <c r="A23" s="264" t="s">
        <v>201</v>
      </c>
      <c r="B23" s="265">
        <f>'Flujo de Caja'!B23</f>
        <v>30000</v>
      </c>
      <c r="C23" s="265">
        <f>'Flujo de Caja'!C23+B23</f>
        <v>30000</v>
      </c>
      <c r="D23" s="265">
        <f>'Flujo de Caja'!D23+C23</f>
        <v>30000</v>
      </c>
      <c r="E23" s="265">
        <f>'Flujo de Caja'!E23+D23</f>
        <v>30000</v>
      </c>
      <c r="F23" s="265">
        <f>'Flujo de Caja'!F23+E23</f>
        <v>30000</v>
      </c>
      <c r="G23" s="265">
        <f>'Flujo de Caja'!G23+F23</f>
        <v>30000</v>
      </c>
      <c r="H23" s="265">
        <f>'Flujo de Caja'!H23+G23</f>
        <v>30000</v>
      </c>
      <c r="I23" s="265">
        <f>'Flujo de Caja'!I23+H23</f>
        <v>30000</v>
      </c>
      <c r="J23" s="265">
        <f>'Flujo de Caja'!J23+I23</f>
        <v>30000</v>
      </c>
      <c r="K23" s="265">
        <f>'Flujo de Caja'!K23+J23</f>
        <v>30000</v>
      </c>
      <c r="L23" s="265">
        <f>'Flujo de Caja'!L23+K23</f>
        <v>30000</v>
      </c>
      <c r="M23" s="265">
        <f>'Flujo de Caja'!M23+L23</f>
        <v>30000</v>
      </c>
      <c r="N23" s="265">
        <f>M23</f>
        <v>30000</v>
      </c>
      <c r="O23" s="265">
        <f>'Flujo de Caja'!O23+N23</f>
        <v>35000</v>
      </c>
      <c r="P23" s="265">
        <f>'Flujo de Caja'!P23+O23</f>
        <v>35000</v>
      </c>
      <c r="Q23" s="265">
        <f>'Flujo de Caja'!Q23+P23</f>
        <v>35000</v>
      </c>
      <c r="R23" s="265">
        <f>'Flujo de Caja'!R23+Q23</f>
        <v>35000</v>
      </c>
      <c r="S23" s="265">
        <f>'Flujo de Caja'!S23+R23</f>
        <v>35000</v>
      </c>
      <c r="T23" s="265">
        <f>'Flujo de Caja'!T23+S23</f>
        <v>35000</v>
      </c>
      <c r="U23" s="265">
        <f>'Flujo de Caja'!U23+T23</f>
        <v>35000</v>
      </c>
      <c r="V23" s="265">
        <f>'Flujo de Caja'!V23+U23</f>
        <v>35000</v>
      </c>
      <c r="W23" s="265">
        <f>'Flujo de Caja'!W23+V23</f>
        <v>35000</v>
      </c>
      <c r="X23" s="265">
        <f>'Flujo de Caja'!X23+W23</f>
        <v>35000</v>
      </c>
      <c r="Y23" s="265">
        <f>'Flujo de Caja'!Y23+X23</f>
        <v>35000</v>
      </c>
      <c r="Z23" s="265">
        <f>'Flujo de Caja'!Z23+Y23</f>
        <v>35000</v>
      </c>
      <c r="AA23" s="265">
        <f>Z23</f>
        <v>35000</v>
      </c>
      <c r="AB23" s="265">
        <f>'Flujo de Caja'!AB23+AA23</f>
        <v>35000</v>
      </c>
      <c r="AC23" s="265">
        <f>'Flujo de Caja'!AC23+AB23</f>
        <v>35000</v>
      </c>
      <c r="AD23" s="265">
        <f>'Flujo de Caja'!AD23+AC23</f>
        <v>35000</v>
      </c>
    </row>
    <row r="24" spans="1:30" ht="15">
      <c r="A24" s="264" t="s">
        <v>45</v>
      </c>
      <c r="B24" s="265">
        <f>'Flujo de Caja'!B24</f>
        <v>0</v>
      </c>
      <c r="C24" s="265">
        <f>'Flujo de Caja'!C24+B24</f>
        <v>0</v>
      </c>
      <c r="D24" s="265">
        <f>'Flujo de Caja'!D24+C24</f>
        <v>0</v>
      </c>
      <c r="E24" s="265">
        <f>'Flujo de Caja'!E24+D24</f>
        <v>0</v>
      </c>
      <c r="F24" s="265">
        <f>'Flujo de Caja'!F24+E24</f>
        <v>0</v>
      </c>
      <c r="G24" s="265">
        <f>'Flujo de Caja'!G24+F24</f>
        <v>0</v>
      </c>
      <c r="H24" s="265">
        <f>'Flujo de Caja'!H24+G24</f>
        <v>0</v>
      </c>
      <c r="I24" s="265">
        <f>'Flujo de Caja'!I24+H24</f>
        <v>0</v>
      </c>
      <c r="J24" s="265">
        <f>'Flujo de Caja'!J24+I24</f>
        <v>0</v>
      </c>
      <c r="K24" s="265">
        <f>'Flujo de Caja'!K24+J24</f>
        <v>0</v>
      </c>
      <c r="L24" s="265">
        <f>'Flujo de Caja'!L24+K24</f>
        <v>0</v>
      </c>
      <c r="M24" s="265">
        <f>'Flujo de Caja'!M24+L24</f>
        <v>-2000</v>
      </c>
      <c r="N24" s="265">
        <f>M24</f>
        <v>-2000</v>
      </c>
      <c r="O24" s="265">
        <f>'Flujo de Caja'!O24+N24</f>
        <v>-2000</v>
      </c>
      <c r="P24" s="265">
        <f>'Flujo de Caja'!P24+O24</f>
        <v>-2000</v>
      </c>
      <c r="Q24" s="265">
        <f>'Flujo de Caja'!Q24+P24</f>
        <v>-2000</v>
      </c>
      <c r="R24" s="265">
        <f>'Flujo de Caja'!R24+Q24</f>
        <v>-2000</v>
      </c>
      <c r="S24" s="265">
        <f>'Flujo de Caja'!S24+R24</f>
        <v>-2000</v>
      </c>
      <c r="T24" s="265">
        <f>'Flujo de Caja'!T24+S24</f>
        <v>-2000</v>
      </c>
      <c r="U24" s="265">
        <f>'Flujo de Caja'!U24+T24</f>
        <v>-2000</v>
      </c>
      <c r="V24" s="265">
        <f>'Flujo de Caja'!V24+U24</f>
        <v>-2000</v>
      </c>
      <c r="W24" s="265">
        <f>'Flujo de Caja'!W24+V24</f>
        <v>-2000</v>
      </c>
      <c r="X24" s="265">
        <f>'Flujo de Caja'!X24+W24</f>
        <v>-2000</v>
      </c>
      <c r="Y24" s="265">
        <f>'Flujo de Caja'!Y24+X24</f>
        <v>-2000</v>
      </c>
      <c r="Z24" s="265">
        <f>'Flujo de Caja'!Z24+Y24</f>
        <v>-5000</v>
      </c>
      <c r="AA24" s="265">
        <f>Z24</f>
        <v>-5000</v>
      </c>
      <c r="AB24" s="265">
        <f>'Flujo de Caja'!AB24+AA24</f>
        <v>-10000</v>
      </c>
      <c r="AC24" s="265">
        <f>'Flujo de Caja'!AC24+AB24</f>
        <v>-17000</v>
      </c>
      <c r="AD24" s="265">
        <f>'Flujo de Caja'!AD24+AC24</f>
        <v>-26000</v>
      </c>
    </row>
    <row r="25" spans="1:30" s="14" customFormat="1" ht="15">
      <c r="A25" s="266" t="s">
        <v>99</v>
      </c>
      <c r="B25" s="267">
        <f aca="true" t="shared" si="7" ref="B25:AD25">B24+B23</f>
        <v>30000</v>
      </c>
      <c r="C25" s="267">
        <f t="shared" si="7"/>
        <v>30000</v>
      </c>
      <c r="D25" s="267">
        <f t="shared" si="7"/>
        <v>30000</v>
      </c>
      <c r="E25" s="267">
        <f t="shared" si="7"/>
        <v>30000</v>
      </c>
      <c r="F25" s="267">
        <f t="shared" si="7"/>
        <v>30000</v>
      </c>
      <c r="G25" s="267">
        <f t="shared" si="7"/>
        <v>30000</v>
      </c>
      <c r="H25" s="267">
        <f t="shared" si="7"/>
        <v>30000</v>
      </c>
      <c r="I25" s="267">
        <f t="shared" si="7"/>
        <v>30000</v>
      </c>
      <c r="J25" s="267">
        <f t="shared" si="7"/>
        <v>30000</v>
      </c>
      <c r="K25" s="267">
        <f t="shared" si="7"/>
        <v>30000</v>
      </c>
      <c r="L25" s="267">
        <f t="shared" si="7"/>
        <v>30000</v>
      </c>
      <c r="M25" s="267">
        <f t="shared" si="7"/>
        <v>28000</v>
      </c>
      <c r="N25" s="267">
        <f t="shared" si="7"/>
        <v>28000</v>
      </c>
      <c r="O25" s="267">
        <f t="shared" si="7"/>
        <v>33000</v>
      </c>
      <c r="P25" s="267">
        <f t="shared" si="7"/>
        <v>33000</v>
      </c>
      <c r="Q25" s="267">
        <f t="shared" si="7"/>
        <v>33000</v>
      </c>
      <c r="R25" s="267">
        <f t="shared" si="7"/>
        <v>33000</v>
      </c>
      <c r="S25" s="267">
        <f t="shared" si="7"/>
        <v>33000</v>
      </c>
      <c r="T25" s="267">
        <f t="shared" si="7"/>
        <v>33000</v>
      </c>
      <c r="U25" s="267">
        <f t="shared" si="7"/>
        <v>33000</v>
      </c>
      <c r="V25" s="267">
        <f t="shared" si="7"/>
        <v>33000</v>
      </c>
      <c r="W25" s="267">
        <f t="shared" si="7"/>
        <v>33000</v>
      </c>
      <c r="X25" s="267">
        <f t="shared" si="7"/>
        <v>33000</v>
      </c>
      <c r="Y25" s="267">
        <f t="shared" si="7"/>
        <v>33000</v>
      </c>
      <c r="Z25" s="267">
        <f t="shared" si="7"/>
        <v>30000</v>
      </c>
      <c r="AA25" s="267">
        <f t="shared" si="7"/>
        <v>30000</v>
      </c>
      <c r="AB25" s="267">
        <f t="shared" si="7"/>
        <v>25000</v>
      </c>
      <c r="AC25" s="267">
        <f t="shared" si="7"/>
        <v>18000</v>
      </c>
      <c r="AD25" s="267">
        <f t="shared" si="7"/>
        <v>9000</v>
      </c>
    </row>
    <row r="26" spans="1:30" ht="15">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row>
    <row r="27" spans="1:30" ht="15">
      <c r="A27" s="264" t="s">
        <v>176</v>
      </c>
      <c r="B27" s="265">
        <f>'Flujo de Caja'!B27</f>
        <v>0</v>
      </c>
      <c r="C27" s="265">
        <f>'Flujo de Caja'!C27+B27</f>
        <v>0</v>
      </c>
      <c r="D27" s="265">
        <f>'Flujo de Caja'!D27+C27</f>
        <v>0</v>
      </c>
      <c r="E27" s="265">
        <f>'Flujo de Caja'!E27+D27</f>
        <v>0</v>
      </c>
      <c r="F27" s="265">
        <f>'Flujo de Caja'!F27+E27</f>
        <v>0</v>
      </c>
      <c r="G27" s="265">
        <f>'Flujo de Caja'!G27+F27</f>
        <v>0</v>
      </c>
      <c r="H27" s="265">
        <f>'Flujo de Caja'!H27+G27</f>
        <v>0</v>
      </c>
      <c r="I27" s="265">
        <f>'Flujo de Caja'!I27+H27</f>
        <v>0</v>
      </c>
      <c r="J27" s="265">
        <f>'Flujo de Caja'!J27+I27</f>
        <v>0</v>
      </c>
      <c r="K27" s="265">
        <f>'Flujo de Caja'!K27+J27</f>
        <v>0</v>
      </c>
      <c r="L27" s="265">
        <f>'Flujo de Caja'!L27+K27</f>
        <v>0</v>
      </c>
      <c r="M27" s="265">
        <f>'Flujo de Caja'!M27+L27</f>
        <v>0</v>
      </c>
      <c r="N27" s="265">
        <f>M27</f>
        <v>0</v>
      </c>
      <c r="O27" s="265">
        <f>'Flujo de Caja'!O27+N27</f>
        <v>0</v>
      </c>
      <c r="P27" s="265">
        <f>'Flujo de Caja'!P27+O27</f>
        <v>0</v>
      </c>
      <c r="Q27" s="265">
        <f>'Flujo de Caja'!Q27+P27</f>
        <v>0</v>
      </c>
      <c r="R27" s="265">
        <f>'Flujo de Caja'!R27+Q27</f>
        <v>0</v>
      </c>
      <c r="S27" s="265">
        <f>'Flujo de Caja'!S27+R27</f>
        <v>0</v>
      </c>
      <c r="T27" s="265">
        <f>'Flujo de Caja'!T27+S27</f>
        <v>0</v>
      </c>
      <c r="U27" s="265">
        <f>'Flujo de Caja'!U27+T27</f>
        <v>0</v>
      </c>
      <c r="V27" s="265">
        <f>'Flujo de Caja'!V27+U27</f>
        <v>0</v>
      </c>
      <c r="W27" s="265">
        <f>'Flujo de Caja'!W27+V27</f>
        <v>0</v>
      </c>
      <c r="X27" s="265">
        <f>'Flujo de Caja'!X27+W27</f>
        <v>0</v>
      </c>
      <c r="Y27" s="265">
        <f>'Flujo de Caja'!Y27+X27</f>
        <v>0</v>
      </c>
      <c r="Z27" s="265">
        <f>'Flujo de Caja'!Z27+Y27</f>
        <v>0</v>
      </c>
      <c r="AA27" s="265">
        <f>Z27</f>
        <v>0</v>
      </c>
      <c r="AB27" s="265">
        <f>'Flujo de Caja'!AB27+AA27</f>
        <v>0</v>
      </c>
      <c r="AC27" s="265">
        <f>'Flujo de Caja'!AC27+AB27</f>
        <v>0</v>
      </c>
      <c r="AD27" s="265">
        <f>'Flujo de Caja'!AD27+AC27</f>
        <v>0</v>
      </c>
    </row>
    <row r="28" spans="1:30" ht="15">
      <c r="A28" s="264" t="s">
        <v>0</v>
      </c>
      <c r="B28" s="265">
        <f>'Flujo de Caja'!B28</f>
        <v>0</v>
      </c>
      <c r="C28" s="265">
        <f>'Flujo de Caja'!C28+B28</f>
        <v>0</v>
      </c>
      <c r="D28" s="265">
        <f>'Flujo de Caja'!D28+C28</f>
        <v>0</v>
      </c>
      <c r="E28" s="265">
        <f>'Flujo de Caja'!E28+D28</f>
        <v>0</v>
      </c>
      <c r="F28" s="265">
        <f>'Flujo de Caja'!F28+E28</f>
        <v>0</v>
      </c>
      <c r="G28" s="265">
        <f>'Flujo de Caja'!G28+F28</f>
        <v>0</v>
      </c>
      <c r="H28" s="265">
        <f>'Flujo de Caja'!H28+G28</f>
        <v>0</v>
      </c>
      <c r="I28" s="265">
        <f>'Flujo de Caja'!I28+H28</f>
        <v>0</v>
      </c>
      <c r="J28" s="265">
        <f>'Flujo de Caja'!J28+I28</f>
        <v>0</v>
      </c>
      <c r="K28" s="265">
        <f>'Flujo de Caja'!K28+J28</f>
        <v>0</v>
      </c>
      <c r="L28" s="265">
        <f>'Flujo de Caja'!L28+K28</f>
        <v>0</v>
      </c>
      <c r="M28" s="265">
        <f>'Flujo de Caja'!M28+L28</f>
        <v>0</v>
      </c>
      <c r="N28" s="265">
        <f>M28</f>
        <v>0</v>
      </c>
      <c r="O28" s="265">
        <f>'Flujo de Caja'!O28+N28</f>
        <v>0</v>
      </c>
      <c r="P28" s="265">
        <f>'Flujo de Caja'!P28+O28</f>
        <v>0</v>
      </c>
      <c r="Q28" s="265">
        <f>'Flujo de Caja'!Q28+P28</f>
        <v>0</v>
      </c>
      <c r="R28" s="265">
        <f>'Flujo de Caja'!R28+Q28</f>
        <v>0</v>
      </c>
      <c r="S28" s="265">
        <f>'Flujo de Caja'!S28+R28</f>
        <v>0</v>
      </c>
      <c r="T28" s="265">
        <f>'Flujo de Caja'!T28+S28</f>
        <v>0</v>
      </c>
      <c r="U28" s="265">
        <f>'Flujo de Caja'!U28+T28</f>
        <v>0</v>
      </c>
      <c r="V28" s="265">
        <f>'Flujo de Caja'!V28+U28</f>
        <v>0</v>
      </c>
      <c r="W28" s="265">
        <f>'Flujo de Caja'!W28+V28</f>
        <v>0</v>
      </c>
      <c r="X28" s="265">
        <f>'Flujo de Caja'!X28+W28</f>
        <v>0</v>
      </c>
      <c r="Y28" s="265">
        <f>'Flujo de Caja'!Y28+X28</f>
        <v>0</v>
      </c>
      <c r="Z28" s="265">
        <f>'Flujo de Caja'!Z28+Y28</f>
        <v>0</v>
      </c>
      <c r="AA28" s="265">
        <f>Z28</f>
        <v>0</v>
      </c>
      <c r="AB28" s="265">
        <f>'Flujo de Caja'!AB28+AA28</f>
        <v>0</v>
      </c>
      <c r="AC28" s="265">
        <f>'Flujo de Caja'!AC28+AB28</f>
        <v>0</v>
      </c>
      <c r="AD28" s="265">
        <f>'Flujo de Caja'!AD28+AC28</f>
        <v>0</v>
      </c>
    </row>
    <row r="29" spans="1:30" s="14" customFormat="1" ht="15">
      <c r="A29" s="266" t="s">
        <v>192</v>
      </c>
      <c r="B29" s="267">
        <f aca="true" t="shared" si="8" ref="B29:AD29">B27+B28</f>
        <v>0</v>
      </c>
      <c r="C29" s="267">
        <f t="shared" si="8"/>
        <v>0</v>
      </c>
      <c r="D29" s="267">
        <f t="shared" si="8"/>
        <v>0</v>
      </c>
      <c r="E29" s="267">
        <f t="shared" si="8"/>
        <v>0</v>
      </c>
      <c r="F29" s="267">
        <f t="shared" si="8"/>
        <v>0</v>
      </c>
      <c r="G29" s="267">
        <f t="shared" si="8"/>
        <v>0</v>
      </c>
      <c r="H29" s="267">
        <f t="shared" si="8"/>
        <v>0</v>
      </c>
      <c r="I29" s="267">
        <f t="shared" si="8"/>
        <v>0</v>
      </c>
      <c r="J29" s="267">
        <f t="shared" si="8"/>
        <v>0</v>
      </c>
      <c r="K29" s="267">
        <f t="shared" si="8"/>
        <v>0</v>
      </c>
      <c r="L29" s="267">
        <f t="shared" si="8"/>
        <v>0</v>
      </c>
      <c r="M29" s="267">
        <f t="shared" si="8"/>
        <v>0</v>
      </c>
      <c r="N29" s="267">
        <f t="shared" si="8"/>
        <v>0</v>
      </c>
      <c r="O29" s="267">
        <f t="shared" si="8"/>
        <v>0</v>
      </c>
      <c r="P29" s="267">
        <f t="shared" si="8"/>
        <v>0</v>
      </c>
      <c r="Q29" s="267">
        <f t="shared" si="8"/>
        <v>0</v>
      </c>
      <c r="R29" s="267">
        <f t="shared" si="8"/>
        <v>0</v>
      </c>
      <c r="S29" s="267">
        <f t="shared" si="8"/>
        <v>0</v>
      </c>
      <c r="T29" s="267">
        <f t="shared" si="8"/>
        <v>0</v>
      </c>
      <c r="U29" s="267">
        <f t="shared" si="8"/>
        <v>0</v>
      </c>
      <c r="V29" s="267">
        <f t="shared" si="8"/>
        <v>0</v>
      </c>
      <c r="W29" s="267">
        <f t="shared" si="8"/>
        <v>0</v>
      </c>
      <c r="X29" s="267">
        <f t="shared" si="8"/>
        <v>0</v>
      </c>
      <c r="Y29" s="267">
        <f t="shared" si="8"/>
        <v>0</v>
      </c>
      <c r="Z29" s="267">
        <f t="shared" si="8"/>
        <v>0</v>
      </c>
      <c r="AA29" s="267">
        <f t="shared" si="8"/>
        <v>0</v>
      </c>
      <c r="AB29" s="267">
        <f t="shared" si="8"/>
        <v>0</v>
      </c>
      <c r="AC29" s="267">
        <f t="shared" si="8"/>
        <v>0</v>
      </c>
      <c r="AD29" s="267">
        <f t="shared" si="8"/>
        <v>0</v>
      </c>
    </row>
    <row r="30" spans="1:30" ht="15">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row>
    <row r="31" spans="1:30" s="14" customFormat="1" ht="15">
      <c r="A31" s="266" t="s">
        <v>59</v>
      </c>
      <c r="B31" s="267">
        <f>'Flujo de Caja'!B31</f>
        <v>0</v>
      </c>
      <c r="C31" s="267">
        <f>'Flujo de Caja'!C31+B31</f>
        <v>0</v>
      </c>
      <c r="D31" s="267">
        <f>'Flujo de Caja'!D31+C31</f>
        <v>0</v>
      </c>
      <c r="E31" s="267">
        <f>'Flujo de Caja'!E31+D31</f>
        <v>0</v>
      </c>
      <c r="F31" s="267">
        <f>'Flujo de Caja'!F31+E31</f>
        <v>0</v>
      </c>
      <c r="G31" s="267">
        <f>'Flujo de Caja'!G31+F31</f>
        <v>0</v>
      </c>
      <c r="H31" s="267">
        <f>'Flujo de Caja'!H31+G31</f>
        <v>0</v>
      </c>
      <c r="I31" s="267">
        <f>'Flujo de Caja'!I31+H31</f>
        <v>0</v>
      </c>
      <c r="J31" s="267">
        <f>'Flujo de Caja'!J31+I31</f>
        <v>0</v>
      </c>
      <c r="K31" s="267">
        <f>'Flujo de Caja'!K31+J31</f>
        <v>0</v>
      </c>
      <c r="L31" s="267">
        <f>'Flujo de Caja'!L31+K31</f>
        <v>0</v>
      </c>
      <c r="M31" s="267">
        <f>'Flujo de Caja'!M31+L31</f>
        <v>0</v>
      </c>
      <c r="N31" s="267">
        <f>M31</f>
        <v>0</v>
      </c>
      <c r="O31" s="267">
        <f>'Flujo de Caja'!O31+N31</f>
        <v>0</v>
      </c>
      <c r="P31" s="267">
        <f>'Flujo de Caja'!P31+O31</f>
        <v>0</v>
      </c>
      <c r="Q31" s="267">
        <f>'Flujo de Caja'!Q31+P31</f>
        <v>0</v>
      </c>
      <c r="R31" s="267">
        <f>'Flujo de Caja'!R31+Q31</f>
        <v>0</v>
      </c>
      <c r="S31" s="267">
        <f>'Flujo de Caja'!S31+R31</f>
        <v>0</v>
      </c>
      <c r="T31" s="267">
        <f>'Flujo de Caja'!T31+S31</f>
        <v>0</v>
      </c>
      <c r="U31" s="267">
        <f>'Flujo de Caja'!U31+T31</f>
        <v>0</v>
      </c>
      <c r="V31" s="267">
        <f>'Flujo de Caja'!V31+U31</f>
        <v>0</v>
      </c>
      <c r="W31" s="267">
        <f>'Flujo de Caja'!W31+V31</f>
        <v>0</v>
      </c>
      <c r="X31" s="267">
        <f>'Flujo de Caja'!X31+W31</f>
        <v>0</v>
      </c>
      <c r="Y31" s="267">
        <f>'Flujo de Caja'!Y31+X31</f>
        <v>0</v>
      </c>
      <c r="Z31" s="267">
        <f>'Flujo de Caja'!Z31+Y31</f>
        <v>0</v>
      </c>
      <c r="AA31" s="267">
        <f>Z31</f>
        <v>0</v>
      </c>
      <c r="AB31" s="267">
        <f>'Flujo de Caja'!AB31+AA31</f>
        <v>0</v>
      </c>
      <c r="AC31" s="267">
        <f>'Flujo de Caja'!AC31+AB31</f>
        <v>0</v>
      </c>
      <c r="AD31" s="267">
        <f>'Flujo de Caja'!AD31+AC31</f>
        <v>0</v>
      </c>
    </row>
    <row r="32" spans="1:30" ht="1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row>
    <row r="33" spans="1:30" ht="15">
      <c r="A33" s="146" t="s">
        <v>224</v>
      </c>
      <c r="B33" s="146">
        <f aca="true" t="shared" si="9" ref="B33:AD33">B25+B29+B31</f>
        <v>30000</v>
      </c>
      <c r="C33" s="146">
        <f t="shared" si="9"/>
        <v>30000</v>
      </c>
      <c r="D33" s="146">
        <f t="shared" si="9"/>
        <v>30000</v>
      </c>
      <c r="E33" s="146">
        <f t="shared" si="9"/>
        <v>30000</v>
      </c>
      <c r="F33" s="146">
        <f t="shared" si="9"/>
        <v>30000</v>
      </c>
      <c r="G33" s="146">
        <f t="shared" si="9"/>
        <v>30000</v>
      </c>
      <c r="H33" s="146">
        <f t="shared" si="9"/>
        <v>30000</v>
      </c>
      <c r="I33" s="146">
        <f t="shared" si="9"/>
        <v>30000</v>
      </c>
      <c r="J33" s="146">
        <f t="shared" si="9"/>
        <v>30000</v>
      </c>
      <c r="K33" s="146">
        <f t="shared" si="9"/>
        <v>30000</v>
      </c>
      <c r="L33" s="146">
        <f t="shared" si="9"/>
        <v>30000</v>
      </c>
      <c r="M33" s="146">
        <f t="shared" si="9"/>
        <v>28000</v>
      </c>
      <c r="N33" s="146">
        <f t="shared" si="9"/>
        <v>28000</v>
      </c>
      <c r="O33" s="146">
        <f t="shared" si="9"/>
        <v>33000</v>
      </c>
      <c r="P33" s="146">
        <f t="shared" si="9"/>
        <v>33000</v>
      </c>
      <c r="Q33" s="146">
        <f t="shared" si="9"/>
        <v>33000</v>
      </c>
      <c r="R33" s="146">
        <f t="shared" si="9"/>
        <v>33000</v>
      </c>
      <c r="S33" s="146">
        <f t="shared" si="9"/>
        <v>33000</v>
      </c>
      <c r="T33" s="146">
        <f t="shared" si="9"/>
        <v>33000</v>
      </c>
      <c r="U33" s="146">
        <f t="shared" si="9"/>
        <v>33000</v>
      </c>
      <c r="V33" s="146">
        <f t="shared" si="9"/>
        <v>33000</v>
      </c>
      <c r="W33" s="146">
        <f t="shared" si="9"/>
        <v>33000</v>
      </c>
      <c r="X33" s="146">
        <f t="shared" si="9"/>
        <v>33000</v>
      </c>
      <c r="Y33" s="146">
        <f t="shared" si="9"/>
        <v>33000</v>
      </c>
      <c r="Z33" s="146">
        <f t="shared" si="9"/>
        <v>30000</v>
      </c>
      <c r="AA33" s="146">
        <f t="shared" si="9"/>
        <v>30000</v>
      </c>
      <c r="AB33" s="146">
        <f t="shared" si="9"/>
        <v>25000</v>
      </c>
      <c r="AC33" s="146">
        <f t="shared" si="9"/>
        <v>18000</v>
      </c>
      <c r="AD33" s="146">
        <f t="shared" si="9"/>
        <v>9000</v>
      </c>
    </row>
    <row r="34" spans="1:30" ht="13.5" customHeight="1">
      <c r="A34" s="275"/>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row>
    <row r="35" spans="1:30" s="19" customFormat="1" ht="15.75">
      <c r="A35" s="243" t="s">
        <v>162</v>
      </c>
      <c r="B35" s="243">
        <f aca="true" t="shared" si="10" ref="B35:AD35">B3+B21+B33</f>
        <v>8625.652777777777</v>
      </c>
      <c r="C35" s="243">
        <f t="shared" si="10"/>
        <v>9251.305555555555</v>
      </c>
      <c r="D35" s="243">
        <f t="shared" si="10"/>
        <v>9876.958333333332</v>
      </c>
      <c r="E35" s="243">
        <f t="shared" si="10"/>
        <v>10502.61111111111</v>
      </c>
      <c r="F35" s="243">
        <f t="shared" si="10"/>
        <v>11128.26388888889</v>
      </c>
      <c r="G35" s="243">
        <f t="shared" si="10"/>
        <v>11753.916666666668</v>
      </c>
      <c r="H35" s="243">
        <f t="shared" si="10"/>
        <v>12379.569444444445</v>
      </c>
      <c r="I35" s="243">
        <f t="shared" si="10"/>
        <v>13005.222222222223</v>
      </c>
      <c r="J35" s="243">
        <f t="shared" si="10"/>
        <v>13630.875</v>
      </c>
      <c r="K35" s="243">
        <f t="shared" si="10"/>
        <v>14256.527777777777</v>
      </c>
      <c r="L35" s="243">
        <f t="shared" si="10"/>
        <v>14882.180555555555</v>
      </c>
      <c r="M35" s="243">
        <f t="shared" si="10"/>
        <v>13507.833333333336</v>
      </c>
      <c r="N35" s="243">
        <f t="shared" si="10"/>
        <v>13507.833333333336</v>
      </c>
      <c r="O35" s="243">
        <f t="shared" si="10"/>
        <v>12885.0625</v>
      </c>
      <c r="P35" s="243">
        <f t="shared" si="10"/>
        <v>14262.291666666668</v>
      </c>
      <c r="Q35" s="243">
        <f t="shared" si="10"/>
        <v>15639.520833333336</v>
      </c>
      <c r="R35" s="243">
        <f t="shared" si="10"/>
        <v>17016.75</v>
      </c>
      <c r="S35" s="243">
        <f t="shared" si="10"/>
        <v>18393.979166666668</v>
      </c>
      <c r="T35" s="243">
        <f t="shared" si="10"/>
        <v>19771.208333333336</v>
      </c>
      <c r="U35" s="243">
        <f t="shared" si="10"/>
        <v>21148.4375</v>
      </c>
      <c r="V35" s="243">
        <f t="shared" si="10"/>
        <v>22525.666666666668</v>
      </c>
      <c r="W35" s="243">
        <f t="shared" si="10"/>
        <v>23902.895833333336</v>
      </c>
      <c r="X35" s="243">
        <f t="shared" si="10"/>
        <v>25280.125000000004</v>
      </c>
      <c r="Y35" s="243">
        <f t="shared" si="10"/>
        <v>26657.35416666667</v>
      </c>
      <c r="Z35" s="243">
        <f t="shared" si="10"/>
        <v>25034.583333333336</v>
      </c>
      <c r="AA35" s="243">
        <f t="shared" si="10"/>
        <v>25034.583333333336</v>
      </c>
      <c r="AB35" s="243">
        <f t="shared" si="10"/>
        <v>33047.333333333336</v>
      </c>
      <c r="AC35" s="243">
        <f t="shared" si="10"/>
        <v>46650.88333333334</v>
      </c>
      <c r="AD35" s="243">
        <f t="shared" si="10"/>
        <v>65120.033333333326</v>
      </c>
    </row>
    <row r="36" spans="1:30" ht="15">
      <c r="A36" s="275"/>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M37"/>
  <sheetViews>
    <sheetView showGridLines="0" zoomScalePageLayoutView="0" workbookViewId="0" topLeftCell="A1">
      <pane xSplit="1" ySplit="1" topLeftCell="B2" activePane="bottomRight" state="frozen"/>
      <selection pane="topLeft" activeCell="G19" sqref="G19"/>
      <selection pane="topRight" activeCell="G19" sqref="G19"/>
      <selection pane="bottomLeft" activeCell="G19" sqref="G19"/>
      <selection pane="bottomRight" activeCell="M30" sqref="M30"/>
    </sheetView>
  </sheetViews>
  <sheetFormatPr defaultColWidth="9.140625" defaultRowHeight="12.75"/>
  <cols>
    <col min="1" max="1" width="52.421875" style="0" customWidth="1"/>
    <col min="2" max="6" width="13.28125" style="0" customWidth="1"/>
    <col min="7" max="7" width="13.28125" style="49" customWidth="1"/>
    <col min="8" max="12" width="15.00390625" style="0" hidden="1" customWidth="1"/>
    <col min="13" max="41" width="11.7109375" style="49" customWidth="1"/>
    <col min="42" max="16384" width="9.140625" style="49" customWidth="1"/>
  </cols>
  <sheetData>
    <row r="1" spans="1:13" s="127" customFormat="1" ht="15.75" customHeight="1">
      <c r="A1" s="186" t="str">
        <f>"INDICES ("&amp;Introducción!E17&amp;")"</f>
        <v>INDICES (Dólares)</v>
      </c>
      <c r="B1" s="187">
        <f>YEAR(DATE(Introducción!E14,Introducción!E13,1))</f>
        <v>2016</v>
      </c>
      <c r="C1" s="187">
        <f>B1+1</f>
        <v>2017</v>
      </c>
      <c r="D1" s="187">
        <f>C1+1</f>
        <v>2018</v>
      </c>
      <c r="E1" s="187">
        <f>D1+1</f>
        <v>2019</v>
      </c>
      <c r="F1" s="187">
        <f>E1+1</f>
        <v>2020</v>
      </c>
      <c r="G1" s="188"/>
      <c r="H1" s="189" t="s">
        <v>221</v>
      </c>
      <c r="I1" s="189" t="s">
        <v>66</v>
      </c>
      <c r="J1" s="189" t="s">
        <v>163</v>
      </c>
      <c r="K1" s="189" t="s">
        <v>75</v>
      </c>
      <c r="L1" s="189" t="s">
        <v>174</v>
      </c>
      <c r="M1" s="188"/>
    </row>
    <row r="2" spans="1:13" ht="12.75">
      <c r="A2" s="145"/>
      <c r="B2" s="145"/>
      <c r="C2" s="145"/>
      <c r="D2" s="145"/>
      <c r="E2" s="145"/>
      <c r="F2" s="145"/>
      <c r="G2" s="144"/>
      <c r="H2" s="145"/>
      <c r="I2" s="145"/>
      <c r="J2" s="145"/>
      <c r="K2" s="145"/>
      <c r="L2" s="145"/>
      <c r="M2" s="144"/>
    </row>
    <row r="3" spans="1:13" ht="15">
      <c r="A3" s="225" t="s">
        <v>97</v>
      </c>
      <c r="B3" s="225"/>
      <c r="C3" s="225"/>
      <c r="D3" s="225"/>
      <c r="E3" s="225"/>
      <c r="F3" s="225"/>
      <c r="G3" s="144"/>
      <c r="H3" s="171"/>
      <c r="I3" s="171"/>
      <c r="J3" s="171"/>
      <c r="K3" s="171"/>
      <c r="L3" s="171"/>
      <c r="M3" s="144"/>
    </row>
    <row r="4" spans="1:13" ht="15">
      <c r="A4" s="248" t="s">
        <v>41</v>
      </c>
      <c r="B4" s="269">
        <f>IF(B33=0,"-",B25/B33)</f>
        <v>0.14137506316321372</v>
      </c>
      <c r="C4" s="269">
        <f>IF(C33=0,"-",C25/C33)</f>
        <v>0.24870057697072678</v>
      </c>
      <c r="D4" s="269">
        <f>IF(D33=0,"-",D25/D33)</f>
        <v>0.24813101617342873</v>
      </c>
      <c r="E4" s="269">
        <f>IF(E33=0,"-",E25/E33)</f>
        <v>0.22127304854374394</v>
      </c>
      <c r="F4" s="269">
        <f>IF(F33=0,"-",F25/F33)</f>
        <v>0.254272479227178</v>
      </c>
      <c r="G4" s="144"/>
      <c r="H4" s="190" t="str">
        <f>IF(H33=0,"-",H25/H33)</f>
        <v>-</v>
      </c>
      <c r="I4" s="190" t="str">
        <f>IF(I33=0,"-",I25/I33)</f>
        <v>-</v>
      </c>
      <c r="J4" s="190" t="str">
        <f>IF(J33=0,"-",J25/J33)</f>
        <v>-</v>
      </c>
      <c r="K4" s="190" t="str">
        <f>IF(K33=0,"-",K25/K33)</f>
        <v>-</v>
      </c>
      <c r="L4" s="190" t="str">
        <f>IF(L33=0,"-",L25/L33)</f>
        <v>-</v>
      </c>
      <c r="M4" s="144"/>
    </row>
    <row r="5" spans="1:13" ht="15">
      <c r="A5" s="248" t="s">
        <v>33</v>
      </c>
      <c r="B5" s="269">
        <f>IF(B29=0,"-",B25/B29)</f>
        <v>0.14137506316321374</v>
      </c>
      <c r="C5" s="269">
        <f>IF(C29=0,"-",C25/C29)</f>
        <v>0.24870057697072664</v>
      </c>
      <c r="D5" s="269">
        <f>IF(D29=0,"-",D25/D29)</f>
        <v>0.24813101617342861</v>
      </c>
      <c r="E5" s="269">
        <f>IF(E29=0,"-",E25/E29)</f>
        <v>0.22127304854374386</v>
      </c>
      <c r="F5" s="269">
        <f>IF(F29=0,"-",F25/F29)</f>
        <v>0.2542724792271779</v>
      </c>
      <c r="G5" s="144"/>
      <c r="H5" s="190" t="str">
        <f>IF(H29=0,"-",H25/H29)</f>
        <v>-</v>
      </c>
      <c r="I5" s="190" t="str">
        <f>IF(I29=0,"-",I25/I29)</f>
        <v>-</v>
      </c>
      <c r="J5" s="190" t="str">
        <f>IF(J29=0,"-",J25/J29)</f>
        <v>-</v>
      </c>
      <c r="K5" s="190" t="str">
        <f>IF(K29=0,"-",K25/K29)</f>
        <v>-</v>
      </c>
      <c r="L5" s="190" t="str">
        <f>IF(L29=0,"-",L25/L29)</f>
        <v>-</v>
      </c>
      <c r="M5" s="144"/>
    </row>
    <row r="6" spans="1:13" ht="15">
      <c r="A6" s="248" t="s">
        <v>141</v>
      </c>
      <c r="B6" s="269">
        <f>IF(B21=0,"-",B25/B21)</f>
        <v>0.03552777777777777</v>
      </c>
      <c r="C6" s="269">
        <f>IF(C21=0,"-",C25/C21)</f>
        <v>0.06505592592592593</v>
      </c>
      <c r="D6" s="269">
        <f>IF(D21=0,"-",D25/D21)</f>
        <v>0.07160415491633765</v>
      </c>
      <c r="E6" s="269">
        <f>IF(E21=0,"-",E25/E21)</f>
        <v>0.06344578798871423</v>
      </c>
      <c r="F6" s="269">
        <f>IF(F21=0,"-",F25/F21)</f>
        <v>0.06920666922683058</v>
      </c>
      <c r="G6" s="144"/>
      <c r="H6" s="190" t="str">
        <f>IF(H21=0,"-",H25/H21)</f>
        <v>-</v>
      </c>
      <c r="I6" s="190" t="str">
        <f>IF(I21=0,"-",I25/I21)</f>
        <v>-</v>
      </c>
      <c r="J6" s="190" t="str">
        <f>IF(J21=0,"-",J25/J21)</f>
        <v>-</v>
      </c>
      <c r="K6" s="190" t="str">
        <f>IF(K21=0,"-",K25/K21)</f>
        <v>-</v>
      </c>
      <c r="L6" s="190" t="str">
        <f>IF(L21=0,"-",L25/L21)</f>
        <v>-</v>
      </c>
      <c r="M6" s="144"/>
    </row>
    <row r="7" spans="1:13" ht="15">
      <c r="A7" s="248" t="s">
        <v>184</v>
      </c>
      <c r="B7" s="269">
        <f>IF(B21=0,"-",B24/B21)</f>
        <v>0.05357142857142857</v>
      </c>
      <c r="C7" s="269">
        <f>IF(C21=0,"-",C24/C21)</f>
        <v>0.10133333333333333</v>
      </c>
      <c r="D7" s="269">
        <f>IF(D21=0,"-",D24/D21)</f>
        <v>0.1113125453226976</v>
      </c>
      <c r="E7" s="269">
        <f>IF(E21=0,"-",E24/E21)</f>
        <v>0.09837277595439627</v>
      </c>
      <c r="F7" s="269">
        <f>IF(F21=0,"-",F24/F21)</f>
        <v>0.10500877770463032</v>
      </c>
      <c r="G7" s="144"/>
      <c r="H7" s="190" t="str">
        <f>IF(H21=0,"-",H24/H21)</f>
        <v>-</v>
      </c>
      <c r="I7" s="190" t="str">
        <f>IF(I21=0,"-",I24/I21)</f>
        <v>-</v>
      </c>
      <c r="J7" s="190" t="str">
        <f>IF(J21=0,"-",J24/J21)</f>
        <v>-</v>
      </c>
      <c r="K7" s="190" t="str">
        <f>IF(K21=0,"-",K24/K21)</f>
        <v>-</v>
      </c>
      <c r="L7" s="190" t="str">
        <f>IF(L21=0,"-",L24/L21)</f>
        <v>-</v>
      </c>
      <c r="M7" s="144"/>
    </row>
    <row r="8" spans="1:13" ht="15">
      <c r="A8" s="199"/>
      <c r="B8" s="270"/>
      <c r="C8" s="270"/>
      <c r="D8" s="270"/>
      <c r="E8" s="270"/>
      <c r="F8" s="270"/>
      <c r="G8" s="144"/>
      <c r="H8" s="191"/>
      <c r="I8" s="191"/>
      <c r="J8" s="191"/>
      <c r="K8" s="191"/>
      <c r="L8" s="191"/>
      <c r="M8" s="144"/>
    </row>
    <row r="9" spans="1:13" ht="15">
      <c r="A9" s="225" t="s">
        <v>139</v>
      </c>
      <c r="B9" s="271"/>
      <c r="C9" s="271"/>
      <c r="D9" s="271"/>
      <c r="E9" s="271"/>
      <c r="F9" s="271"/>
      <c r="G9" s="144"/>
      <c r="H9" s="192"/>
      <c r="I9" s="192"/>
      <c r="J9" s="192"/>
      <c r="K9" s="192"/>
      <c r="L9" s="192"/>
      <c r="M9" s="144"/>
    </row>
    <row r="10" spans="1:13" ht="15">
      <c r="A10" s="248" t="s">
        <v>130</v>
      </c>
      <c r="B10" s="272">
        <f>IF(B21=0,"-",B27/B21*360)</f>
        <v>0</v>
      </c>
      <c r="C10" s="272">
        <f>IF(C21=0,"-",C27/C21*360)</f>
        <v>0</v>
      </c>
      <c r="D10" s="272">
        <f>IF(D21=0,"-",D27/D21*360)</f>
        <v>0</v>
      </c>
      <c r="E10" s="272">
        <f>IF(E21=0,"-",E27/E21*360)</f>
        <v>0</v>
      </c>
      <c r="F10" s="272">
        <f>IF(F21=0,"-",F27/F21*360)</f>
        <v>0</v>
      </c>
      <c r="G10" s="144"/>
      <c r="H10" s="193" t="str">
        <f>IF(H21=0,"-",H27/H21*360)</f>
        <v>-</v>
      </c>
      <c r="I10" s="193" t="str">
        <f>IF(I21=0,"-",I27/I21*360)</f>
        <v>-</v>
      </c>
      <c r="J10" s="193" t="str">
        <f>IF(J21=0,"-",J27/J21*360)</f>
        <v>-</v>
      </c>
      <c r="K10" s="193" t="str">
        <f>IF(K21=0,"-",K27/K21*360)</f>
        <v>-</v>
      </c>
      <c r="L10" s="193" t="str">
        <f>IF(L21=0,"-",L27/L21*360)</f>
        <v>-</v>
      </c>
      <c r="M10" s="144"/>
    </row>
    <row r="11" spans="1:13" ht="15">
      <c r="A11" s="248" t="s">
        <v>24</v>
      </c>
      <c r="B11" s="273">
        <f>IF(B23=0,"-",-B30/B23*360)</f>
        <v>0</v>
      </c>
      <c r="C11" s="273">
        <f>IF(C23=0,"-",-C30/C23*360)</f>
        <v>0</v>
      </c>
      <c r="D11" s="273">
        <f>IF(D23=0,"-",-D30/D23*360)</f>
        <v>0</v>
      </c>
      <c r="E11" s="273">
        <f>IF(E23=0,"-",-E30/E23*360)</f>
        <v>0</v>
      </c>
      <c r="F11" s="273">
        <f>IF(F23=0,"-",-F30/F23*360)</f>
        <v>0</v>
      </c>
      <c r="G11" s="144"/>
      <c r="H11" s="193" t="str">
        <f>IF(H23=0,"-",-H30/H23*360)</f>
        <v>-</v>
      </c>
      <c r="I11" s="193" t="str">
        <f>IF(I23=0,"-",-I30/I23*360)</f>
        <v>-</v>
      </c>
      <c r="J11" s="193" t="str">
        <f>IF(J23=0,"-",-J30/J23*360)</f>
        <v>-</v>
      </c>
      <c r="K11" s="193" t="str">
        <f>IF(K23=0,"-",-K30/K23*360)</f>
        <v>-</v>
      </c>
      <c r="L11" s="193" t="str">
        <f>IF(L23=0,"-",-L30/L23*360)</f>
        <v>-</v>
      </c>
      <c r="M11" s="144"/>
    </row>
    <row r="12" spans="1:13" ht="15">
      <c r="A12" s="248" t="s">
        <v>71</v>
      </c>
      <c r="B12" s="273">
        <f>IF(B22=0,"-",-B28/B22*360)</f>
        <v>0</v>
      </c>
      <c r="C12" s="273">
        <f>IF(C22=0,"-",-C28/C22*360)</f>
        <v>0</v>
      </c>
      <c r="D12" s="273">
        <f>IF(D22=0,"-",-D28/D22*360)</f>
        <v>0</v>
      </c>
      <c r="E12" s="273">
        <f>IF(E22=0,"-",-E28/E22*360)</f>
        <v>0</v>
      </c>
      <c r="F12" s="273">
        <f>IF(F22=0,"-",-F28/F22*360)</f>
        <v>0</v>
      </c>
      <c r="G12" s="144"/>
      <c r="H12" s="193" t="str">
        <f>IF(H22=0,"-",-H28/H22*360)</f>
        <v>-</v>
      </c>
      <c r="I12" s="193" t="str">
        <f>IF(I22=0,"-",-I28/I22*360)</f>
        <v>-</v>
      </c>
      <c r="J12" s="193" t="str">
        <f>IF(J22=0,"-",-J28/J22*360)</f>
        <v>-</v>
      </c>
      <c r="K12" s="193" t="str">
        <f>IF(K22=0,"-",-K28/K22*360)</f>
        <v>-</v>
      </c>
      <c r="L12" s="193" t="str">
        <f>IF(L22=0,"-",-L28/L22*360)</f>
        <v>-</v>
      </c>
      <c r="M12" s="144"/>
    </row>
    <row r="13" spans="1:13" ht="15">
      <c r="A13" s="248" t="s">
        <v>2</v>
      </c>
      <c r="B13" s="269">
        <f>IF(B29=0,"-",B26/B29)</f>
        <v>0.31994931152097017</v>
      </c>
      <c r="C13" s="269">
        <f>IF(C29=0,"-",C26/C29)</f>
        <v>0.4253513149976993</v>
      </c>
      <c r="D13" s="269">
        <f>IF(D29=0,"-",D26/D29)</f>
        <v>0.4613627003646061</v>
      </c>
      <c r="E13" s="269">
        <f>IF(E29=0,"-",E26/E29)</f>
        <v>0.5620980016077426</v>
      </c>
      <c r="F13" s="269">
        <f>IF(F29=0,"-",F26/F29)</f>
        <v>0.6562918454704935</v>
      </c>
      <c r="G13" s="144"/>
      <c r="H13" s="190" t="str">
        <f>IF(H29=0,"-",H26/H29)</f>
        <v>-</v>
      </c>
      <c r="I13" s="190" t="str">
        <f>IF(I29=0,"-",I26/I29)</f>
        <v>-</v>
      </c>
      <c r="J13" s="190" t="str">
        <f>IF(J29=0,"-",J26/J29)</f>
        <v>-</v>
      </c>
      <c r="K13" s="190" t="str">
        <f>IF(K29=0,"-",K26/K29)</f>
        <v>-</v>
      </c>
      <c r="L13" s="190" t="str">
        <f>IF(L29=0,"-",L26/L29)</f>
        <v>-</v>
      </c>
      <c r="M13" s="144"/>
    </row>
    <row r="14" spans="1:13" ht="15">
      <c r="A14" s="199"/>
      <c r="B14" s="270"/>
      <c r="C14" s="270"/>
      <c r="D14" s="270"/>
      <c r="E14" s="270"/>
      <c r="F14" s="270"/>
      <c r="G14" s="144"/>
      <c r="H14" s="191"/>
      <c r="I14" s="191"/>
      <c r="J14" s="191"/>
      <c r="K14" s="191"/>
      <c r="L14" s="191"/>
      <c r="M14" s="144"/>
    </row>
    <row r="15" spans="1:13" ht="15">
      <c r="A15" s="225" t="s">
        <v>200</v>
      </c>
      <c r="B15" s="271"/>
      <c r="C15" s="271"/>
      <c r="D15" s="271"/>
      <c r="E15" s="271"/>
      <c r="F15" s="271"/>
      <c r="G15" s="144"/>
      <c r="H15" s="192"/>
      <c r="I15" s="192"/>
      <c r="J15" s="192"/>
      <c r="K15" s="192"/>
      <c r="L15" s="192"/>
      <c r="M15" s="144"/>
    </row>
    <row r="16" spans="1:13" ht="15">
      <c r="A16" s="248" t="s">
        <v>170</v>
      </c>
      <c r="B16" s="269">
        <f>IF(B29=0,"-",(B31+B32)/B29)</f>
        <v>0</v>
      </c>
      <c r="C16" s="269">
        <f>IF(C29=0,"-",(C31+C32)/C29)</f>
        <v>0</v>
      </c>
      <c r="D16" s="269">
        <f>IF(D29=0,"-",(D31+D32)/D29)</f>
        <v>0</v>
      </c>
      <c r="E16" s="269">
        <f>IF(E29=0,"-",(E31+E32)/E29)</f>
        <v>0</v>
      </c>
      <c r="F16" s="269">
        <f>IF(F29=0,"-",(F31+F32)/F29)</f>
        <v>0</v>
      </c>
      <c r="G16" s="144"/>
      <c r="H16" s="190" t="str">
        <f>IF(H29=0,"-",(H31+H32)/H29)</f>
        <v>-</v>
      </c>
      <c r="I16" s="190" t="str">
        <f>IF(I29=0,"-",(I31+I32)/I29)</f>
        <v>-</v>
      </c>
      <c r="J16" s="190" t="str">
        <f>IF(J29=0,"-",(J31+J32)/J29)</f>
        <v>-</v>
      </c>
      <c r="K16" s="190" t="str">
        <f>IF(K29=0,"-",(K31+K32)/K29)</f>
        <v>-</v>
      </c>
      <c r="L16" s="190" t="str">
        <f>IF(L29=0,"-",(L31+L32)/L29)</f>
        <v>-</v>
      </c>
      <c r="M16" s="144"/>
    </row>
    <row r="17" spans="1:13" ht="15">
      <c r="A17" s="248" t="s">
        <v>40</v>
      </c>
      <c r="B17" s="269" t="str">
        <f>IF(B31+B32=0,"-",B31/(B31+B32))</f>
        <v>-</v>
      </c>
      <c r="C17" s="269" t="str">
        <f>IF(C31+C32=0,"-",C31/(C31+C32))</f>
        <v>-</v>
      </c>
      <c r="D17" s="269" t="str">
        <f>IF(D31+D32=0,"-",D31/(D31+D32))</f>
        <v>-</v>
      </c>
      <c r="E17" s="269" t="str">
        <f>IF(E31+E32=0,"-",E31/(E31+E32))</f>
        <v>-</v>
      </c>
      <c r="F17" s="269" t="str">
        <f>IF(F31+F32=0,"-",F31/(F31+F32))</f>
        <v>-</v>
      </c>
      <c r="G17" s="144"/>
      <c r="H17" s="190" t="str">
        <f>IF(H31+H32=0,"-",H31/(H31+H32))</f>
        <v>-</v>
      </c>
      <c r="I17" s="190" t="str">
        <f>IF(I31+I32=0,"-",I31/(I31+I32))</f>
        <v>-</v>
      </c>
      <c r="J17" s="190" t="str">
        <f>IF(J31+J32=0,"-",J31/(J31+J32))</f>
        <v>-</v>
      </c>
      <c r="K17" s="190" t="str">
        <f>IF(K31+K32=0,"-",K31/(K31+K32))</f>
        <v>-</v>
      </c>
      <c r="L17" s="190" t="str">
        <f>IF(L31+L32=0,"-",L31/(L31+L32))</f>
        <v>-</v>
      </c>
      <c r="M17" s="144"/>
    </row>
    <row r="18" spans="1:13" ht="15">
      <c r="A18" s="199"/>
      <c r="B18" s="199"/>
      <c r="C18" s="199"/>
      <c r="D18" s="199"/>
      <c r="E18" s="199"/>
      <c r="F18" s="199"/>
      <c r="G18" s="144"/>
      <c r="H18" s="145"/>
      <c r="I18" s="145"/>
      <c r="J18" s="145"/>
      <c r="K18" s="145"/>
      <c r="L18" s="145"/>
      <c r="M18" s="144"/>
    </row>
    <row r="19" spans="1:13" ht="15">
      <c r="A19" s="199"/>
      <c r="B19" s="199"/>
      <c r="C19" s="199"/>
      <c r="D19" s="199"/>
      <c r="E19" s="199"/>
      <c r="F19" s="199"/>
      <c r="G19" s="144"/>
      <c r="H19" s="145"/>
      <c r="I19" s="145"/>
      <c r="J19" s="145"/>
      <c r="K19" s="145"/>
      <c r="L19" s="145"/>
      <c r="M19" s="144"/>
    </row>
    <row r="20" spans="1:13" ht="15">
      <c r="A20" s="225" t="s">
        <v>118</v>
      </c>
      <c r="B20" s="274"/>
      <c r="C20" s="274"/>
      <c r="D20" s="274"/>
      <c r="E20" s="274"/>
      <c r="F20" s="274"/>
      <c r="G20" s="144"/>
      <c r="H20" s="194"/>
      <c r="I20" s="194"/>
      <c r="J20" s="194"/>
      <c r="K20" s="194"/>
      <c r="L20" s="194"/>
      <c r="M20" s="144"/>
    </row>
    <row r="21" spans="1:13" ht="15">
      <c r="A21" s="248" t="s">
        <v>46</v>
      </c>
      <c r="B21" s="248">
        <f>'Estado Resultados'!N3</f>
        <v>168000</v>
      </c>
      <c r="C21" s="248">
        <f>'Estado Resultados'!AA3</f>
        <v>225000</v>
      </c>
      <c r="D21" s="248">
        <f>'Estado Resultados'!AB3</f>
        <v>248220</v>
      </c>
      <c r="E21" s="248">
        <f>'Estado Resultados'!AC3</f>
        <v>289450</v>
      </c>
      <c r="F21" s="248">
        <f>'Estado Resultados'!AD3</f>
        <v>364560</v>
      </c>
      <c r="G21" s="144"/>
      <c r="H21" s="195">
        <v>0</v>
      </c>
      <c r="I21" s="195">
        <v>0</v>
      </c>
      <c r="J21" s="195">
        <v>0</v>
      </c>
      <c r="K21" s="195">
        <v>0</v>
      </c>
      <c r="L21" s="195">
        <v>0</v>
      </c>
      <c r="M21" s="144"/>
    </row>
    <row r="22" spans="1:13" ht="15">
      <c r="A22" s="248" t="s">
        <v>106</v>
      </c>
      <c r="B22" s="248">
        <f>-'Costo de Ventas'!N13</f>
        <v>-36000</v>
      </c>
      <c r="C22" s="248">
        <f>-'Costo de Ventas'!AA13</f>
        <v>-45000</v>
      </c>
      <c r="D22" s="248">
        <f>-'Costo de Ventas'!AB13</f>
        <v>-49770</v>
      </c>
      <c r="E22" s="248">
        <f>-'Costo de Ventas'!AC13</f>
        <v>-58100</v>
      </c>
      <c r="F22" s="248">
        <f>-'Costo de Ventas'!AD13</f>
        <v>-73080</v>
      </c>
      <c r="G22" s="144"/>
      <c r="H22" s="195">
        <v>0</v>
      </c>
      <c r="I22" s="195">
        <v>0</v>
      </c>
      <c r="J22" s="195">
        <v>0</v>
      </c>
      <c r="K22" s="195">
        <v>0</v>
      </c>
      <c r="L22" s="195">
        <v>0</v>
      </c>
      <c r="M22" s="144"/>
    </row>
    <row r="23" spans="1:13" ht="15">
      <c r="A23" s="248" t="s">
        <v>160</v>
      </c>
      <c r="B23" s="248">
        <f>'Estado Resultados'!N4+'Estado Resultados'!N9</f>
        <v>-159000</v>
      </c>
      <c r="C23" s="248">
        <f>'Estado Resultados'!AA4+'Estado Resultados'!AA9</f>
        <v>-202200</v>
      </c>
      <c r="D23" s="248">
        <f>'Estado Resultados'!AB4+'Estado Resultados'!AB9</f>
        <v>-220590</v>
      </c>
      <c r="E23" s="248">
        <f>'Estado Resultados'!AC4+'Estado Resultados'!AC9</f>
        <v>-260976</v>
      </c>
      <c r="F23" s="248">
        <f>'Estado Resultados'!AD4+'Estado Resultados'!AD9</f>
        <v>-326278</v>
      </c>
      <c r="G23" s="144"/>
      <c r="H23" s="195">
        <v>0</v>
      </c>
      <c r="I23" s="195">
        <v>0</v>
      </c>
      <c r="J23" s="195">
        <v>0</v>
      </c>
      <c r="K23" s="195">
        <v>0</v>
      </c>
      <c r="L23" s="195">
        <v>0</v>
      </c>
      <c r="M23" s="144"/>
    </row>
    <row r="24" spans="1:13" ht="15">
      <c r="A24" s="248" t="s">
        <v>198</v>
      </c>
      <c r="B24" s="248">
        <f>'Estado Resultados'!N10</f>
        <v>9000</v>
      </c>
      <c r="C24" s="248">
        <f>'Estado Resultados'!AA10</f>
        <v>22800</v>
      </c>
      <c r="D24" s="248">
        <f>'Estado Resultados'!AB10</f>
        <v>27630</v>
      </c>
      <c r="E24" s="248">
        <f>'Estado Resultados'!AC10</f>
        <v>28474</v>
      </c>
      <c r="F24" s="248">
        <f>'Estado Resultados'!AD10</f>
        <v>38282.00000000003</v>
      </c>
      <c r="G24" s="144"/>
      <c r="H24" s="195">
        <v>0</v>
      </c>
      <c r="I24" s="195">
        <v>0</v>
      </c>
      <c r="J24" s="195">
        <v>0</v>
      </c>
      <c r="K24" s="195">
        <v>0</v>
      </c>
      <c r="L24" s="195">
        <v>0</v>
      </c>
      <c r="M24" s="144"/>
    </row>
    <row r="25" spans="1:13" ht="15">
      <c r="A25" s="248" t="s">
        <v>132</v>
      </c>
      <c r="B25" s="248">
        <f>'Estado Resultados'!N17</f>
        <v>5968.666666666665</v>
      </c>
      <c r="C25" s="248">
        <f>'Estado Resultados'!AA17</f>
        <v>14637.583333333334</v>
      </c>
      <c r="D25" s="248">
        <f>'Estado Resultados'!AB17</f>
        <v>17773.583333333332</v>
      </c>
      <c r="E25" s="248">
        <f>'Estado Resultados'!AC17</f>
        <v>18364.38333333333</v>
      </c>
      <c r="F25" s="248">
        <f>'Estado Resultados'!AD17</f>
        <v>25229.983333333355</v>
      </c>
      <c r="G25" s="144"/>
      <c r="H25" s="195">
        <v>0</v>
      </c>
      <c r="I25" s="195">
        <v>0</v>
      </c>
      <c r="J25" s="195">
        <v>0</v>
      </c>
      <c r="K25" s="195">
        <v>0</v>
      </c>
      <c r="L25" s="195">
        <v>0</v>
      </c>
      <c r="M25" s="144"/>
    </row>
    <row r="26" spans="1:13" ht="15">
      <c r="A26" s="248" t="s">
        <v>144</v>
      </c>
      <c r="B26" s="248">
        <f>Balance!N3</f>
        <v>13507.833333333328</v>
      </c>
      <c r="C26" s="248">
        <f>Balance!AA3</f>
        <v>25034.583333333347</v>
      </c>
      <c r="D26" s="248">
        <f>Balance!AB3</f>
        <v>33047.33333333334</v>
      </c>
      <c r="E26" s="248">
        <f>Balance!AC3</f>
        <v>46650.883333333346</v>
      </c>
      <c r="F26" s="248">
        <f>Balance!AD3</f>
        <v>65120.03333333337</v>
      </c>
      <c r="G26" s="144"/>
      <c r="H26" s="195">
        <v>0</v>
      </c>
      <c r="I26" s="195">
        <v>0</v>
      </c>
      <c r="J26" s="195">
        <v>0</v>
      </c>
      <c r="K26" s="195">
        <v>0</v>
      </c>
      <c r="L26" s="195">
        <v>0</v>
      </c>
      <c r="M26" s="144"/>
    </row>
    <row r="27" spans="1:13" ht="15">
      <c r="A27" s="248" t="s">
        <v>101</v>
      </c>
      <c r="B27" s="248">
        <f>Balance!N4</f>
        <v>0</v>
      </c>
      <c r="C27" s="248">
        <f>Balance!AA4</f>
        <v>0</v>
      </c>
      <c r="D27" s="248">
        <f>Balance!AB4</f>
        <v>0</v>
      </c>
      <c r="E27" s="248">
        <f>Balance!AC4</f>
        <v>0</v>
      </c>
      <c r="F27" s="248">
        <f>Balance!AD4</f>
        <v>0</v>
      </c>
      <c r="G27" s="144"/>
      <c r="H27" s="195">
        <v>0</v>
      </c>
      <c r="I27" s="195">
        <v>0</v>
      </c>
      <c r="J27" s="195">
        <v>0</v>
      </c>
      <c r="K27" s="195">
        <v>0</v>
      </c>
      <c r="L27" s="195">
        <v>0</v>
      </c>
      <c r="M27" s="144"/>
    </row>
    <row r="28" spans="1:13" ht="15">
      <c r="A28" s="248" t="s">
        <v>116</v>
      </c>
      <c r="B28" s="248">
        <f>Balance!N6</f>
        <v>0</v>
      </c>
      <c r="C28" s="248">
        <f>Balance!AA6</f>
        <v>0</v>
      </c>
      <c r="D28" s="248">
        <f>Balance!AB6</f>
        <v>0</v>
      </c>
      <c r="E28" s="248">
        <f>Balance!AC6</f>
        <v>0</v>
      </c>
      <c r="F28" s="248">
        <f>Balance!AD6</f>
        <v>0</v>
      </c>
      <c r="G28" s="144"/>
      <c r="H28" s="195">
        <v>0</v>
      </c>
      <c r="I28" s="195">
        <v>0</v>
      </c>
      <c r="J28" s="195">
        <v>0</v>
      </c>
      <c r="K28" s="195">
        <v>0</v>
      </c>
      <c r="L28" s="195">
        <v>0</v>
      </c>
      <c r="M28" s="144"/>
    </row>
    <row r="29" spans="1:13" ht="15">
      <c r="A29" s="248" t="s">
        <v>85</v>
      </c>
      <c r="B29" s="248">
        <f>Balance!N12</f>
        <v>42218.66666666666</v>
      </c>
      <c r="C29" s="248">
        <f>Balance!AA12</f>
        <v>58856.250000000015</v>
      </c>
      <c r="D29" s="248">
        <f>Balance!AB12</f>
        <v>71629.83333333334</v>
      </c>
      <c r="E29" s="248">
        <f>Balance!AC12</f>
        <v>82994.21666666667</v>
      </c>
      <c r="F29" s="248">
        <f>Balance!AD12</f>
        <v>99224.20000000004</v>
      </c>
      <c r="G29" s="144"/>
      <c r="H29" s="195">
        <v>0</v>
      </c>
      <c r="I29" s="195">
        <v>0</v>
      </c>
      <c r="J29" s="195">
        <v>0</v>
      </c>
      <c r="K29" s="195">
        <v>0</v>
      </c>
      <c r="L29" s="195">
        <v>0</v>
      </c>
      <c r="M29" s="144"/>
    </row>
    <row r="30" spans="1:13" ht="15">
      <c r="A30" s="248" t="s">
        <v>120</v>
      </c>
      <c r="B30" s="248">
        <f>Balance!N15</f>
        <v>0</v>
      </c>
      <c r="C30" s="248">
        <f>Balance!AA15</f>
        <v>0</v>
      </c>
      <c r="D30" s="248">
        <f>Balance!AB15</f>
        <v>0</v>
      </c>
      <c r="E30" s="248">
        <f>Balance!AC15</f>
        <v>0</v>
      </c>
      <c r="F30" s="248">
        <f>Balance!AD15</f>
        <v>0</v>
      </c>
      <c r="G30" s="144"/>
      <c r="H30" s="195">
        <v>0</v>
      </c>
      <c r="I30" s="195">
        <v>0</v>
      </c>
      <c r="J30" s="195">
        <v>0</v>
      </c>
      <c r="K30" s="195">
        <v>0</v>
      </c>
      <c r="L30" s="195">
        <v>0</v>
      </c>
      <c r="M30" s="144"/>
    </row>
    <row r="31" spans="1:13" ht="15">
      <c r="A31" s="248" t="s">
        <v>156</v>
      </c>
      <c r="B31" s="248">
        <f>Balance!N16</f>
        <v>0</v>
      </c>
      <c r="C31" s="248">
        <f>Balance!AA16</f>
        <v>0</v>
      </c>
      <c r="D31" s="248">
        <f>Balance!AB16</f>
        <v>0</v>
      </c>
      <c r="E31" s="248">
        <f>Balance!AC16</f>
        <v>0</v>
      </c>
      <c r="F31" s="248">
        <f>Balance!AD16</f>
        <v>0</v>
      </c>
      <c r="G31" s="144"/>
      <c r="H31" s="195">
        <v>0</v>
      </c>
      <c r="I31" s="195">
        <v>0</v>
      </c>
      <c r="J31" s="195">
        <v>0</v>
      </c>
      <c r="K31" s="195">
        <v>0</v>
      </c>
      <c r="L31" s="195">
        <v>0</v>
      </c>
      <c r="M31" s="144"/>
    </row>
    <row r="32" spans="1:13" ht="15">
      <c r="A32" s="248" t="s">
        <v>215</v>
      </c>
      <c r="B32" s="248">
        <f>Balance!N19</f>
        <v>0</v>
      </c>
      <c r="C32" s="248">
        <f>Balance!AA19</f>
        <v>0</v>
      </c>
      <c r="D32" s="248">
        <f>Balance!AB19</f>
        <v>0</v>
      </c>
      <c r="E32" s="248">
        <f>Balance!AC19</f>
        <v>0</v>
      </c>
      <c r="F32" s="248">
        <f>Balance!AD19</f>
        <v>0</v>
      </c>
      <c r="G32" s="144"/>
      <c r="H32" s="195">
        <v>0</v>
      </c>
      <c r="I32" s="195">
        <v>0</v>
      </c>
      <c r="J32" s="195">
        <v>0</v>
      </c>
      <c r="K32" s="195">
        <v>0</v>
      </c>
      <c r="L32" s="195">
        <v>0</v>
      </c>
      <c r="M32" s="144"/>
    </row>
    <row r="33" spans="1:13" ht="15">
      <c r="A33" s="265" t="s">
        <v>105</v>
      </c>
      <c r="B33" s="265">
        <f>Balance!N24</f>
        <v>42218.666666666664</v>
      </c>
      <c r="C33" s="265">
        <f>Balance!AA24</f>
        <v>58856.249999999985</v>
      </c>
      <c r="D33" s="265">
        <f>Balance!AB24</f>
        <v>71629.83333333331</v>
      </c>
      <c r="E33" s="265">
        <f>Balance!AC24</f>
        <v>82994.21666666665</v>
      </c>
      <c r="F33" s="265">
        <f>Balance!AD24</f>
        <v>99224.20000000001</v>
      </c>
      <c r="G33" s="144"/>
      <c r="H33" s="195">
        <v>0</v>
      </c>
      <c r="I33" s="195">
        <v>0</v>
      </c>
      <c r="J33" s="195">
        <v>0</v>
      </c>
      <c r="K33" s="195">
        <v>0</v>
      </c>
      <c r="L33" s="195">
        <v>0</v>
      </c>
      <c r="M33" s="144"/>
    </row>
    <row r="34" spans="1:13" ht="15">
      <c r="A34" s="199"/>
      <c r="B34" s="199"/>
      <c r="C34" s="199"/>
      <c r="D34" s="199"/>
      <c r="E34" s="199"/>
      <c r="F34" s="199"/>
      <c r="G34" s="144"/>
      <c r="H34" s="145"/>
      <c r="I34" s="145"/>
      <c r="J34" s="145"/>
      <c r="K34" s="145"/>
      <c r="L34" s="145"/>
      <c r="M34" s="144"/>
    </row>
    <row r="35" spans="1:13" ht="12.75">
      <c r="A35" s="145"/>
      <c r="B35" s="145"/>
      <c r="C35" s="145"/>
      <c r="D35" s="145"/>
      <c r="E35" s="145"/>
      <c r="F35" s="145"/>
      <c r="G35" s="144"/>
      <c r="H35" s="145"/>
      <c r="I35" s="145"/>
      <c r="J35" s="145"/>
      <c r="K35" s="145"/>
      <c r="L35" s="145"/>
      <c r="M35" s="144"/>
    </row>
    <row r="36" spans="1:13" ht="12.75">
      <c r="A36" s="145"/>
      <c r="B36" s="145"/>
      <c r="C36" s="145"/>
      <c r="D36" s="145"/>
      <c r="E36" s="145"/>
      <c r="F36" s="145"/>
      <c r="G36" s="144"/>
      <c r="H36" s="145"/>
      <c r="I36" s="145"/>
      <c r="J36" s="145"/>
      <c r="K36" s="145"/>
      <c r="L36" s="145"/>
      <c r="M36" s="144"/>
    </row>
    <row r="37" spans="1:13" ht="12.75">
      <c r="A37" s="145"/>
      <c r="B37" s="145"/>
      <c r="C37" s="145"/>
      <c r="D37" s="145"/>
      <c r="E37" s="145"/>
      <c r="F37" s="145"/>
      <c r="G37" s="144"/>
      <c r="H37" s="145"/>
      <c r="I37" s="145"/>
      <c r="J37" s="145"/>
      <c r="K37" s="145"/>
      <c r="L37" s="145"/>
      <c r="M37" s="144"/>
    </row>
  </sheetData>
  <sheetProtection/>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AJ23"/>
  <sheetViews>
    <sheetView showGridLines="0"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AC19" sqref="AC19"/>
    </sheetView>
  </sheetViews>
  <sheetFormatPr defaultColWidth="9.14062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2" width="8.8515625" style="0" customWidth="1"/>
    <col min="33" max="36" width="10.421875" style="101" hidden="1" customWidth="1"/>
    <col min="37" max="37" width="8.8515625" style="0" customWidth="1"/>
  </cols>
  <sheetData>
    <row r="1" spans="1:36" ht="15.75" customHeight="1">
      <c r="A1" s="141" t="str">
        <f>"INGRESOS ("&amp;Introducción!E17&amp;")"</f>
        <v>INGRESOS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290">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290">
        <f>YEAR(Z1)</f>
        <v>2017</v>
      </c>
      <c r="AB1" s="290">
        <f>1+AA1</f>
        <v>2018</v>
      </c>
      <c r="AC1" s="290">
        <f>1+AB1</f>
        <v>2019</v>
      </c>
      <c r="AD1" s="290">
        <f>1+AC1</f>
        <v>2020</v>
      </c>
      <c r="AE1" s="188"/>
      <c r="AF1" s="199"/>
      <c r="AG1" t="s">
        <v>149</v>
      </c>
      <c r="AH1"/>
      <c r="AI1" t="s">
        <v>180</v>
      </c>
      <c r="AJ1" t="s">
        <v>204</v>
      </c>
    </row>
    <row r="2" spans="1:32" ht="15.75">
      <c r="A2" s="199"/>
      <c r="B2" s="188"/>
      <c r="C2" s="188"/>
      <c r="D2" s="188"/>
      <c r="E2" s="188"/>
      <c r="F2" s="188"/>
      <c r="G2" s="188"/>
      <c r="H2" s="188"/>
      <c r="I2" s="188"/>
      <c r="J2" s="188"/>
      <c r="K2" s="188"/>
      <c r="L2" s="188"/>
      <c r="M2" s="188"/>
      <c r="N2" s="291"/>
      <c r="O2" s="188"/>
      <c r="P2" s="188"/>
      <c r="Q2" s="188"/>
      <c r="R2" s="188"/>
      <c r="S2" s="188"/>
      <c r="T2" s="188"/>
      <c r="U2" s="188"/>
      <c r="V2" s="188"/>
      <c r="W2" s="188"/>
      <c r="X2" s="188"/>
      <c r="Y2" s="188"/>
      <c r="Z2" s="188"/>
      <c r="AA2" s="291"/>
      <c r="AB2" s="291"/>
      <c r="AC2" s="291"/>
      <c r="AD2" s="291"/>
      <c r="AE2" s="188"/>
      <c r="AF2" s="199"/>
    </row>
    <row r="3" spans="1:32" ht="15.75">
      <c r="A3" s="196" t="s">
        <v>203</v>
      </c>
      <c r="B3" s="209">
        <v>2000</v>
      </c>
      <c r="C3" s="209">
        <v>2000</v>
      </c>
      <c r="D3" s="209">
        <v>2000</v>
      </c>
      <c r="E3" s="209">
        <v>2000</v>
      </c>
      <c r="F3" s="209">
        <v>2000</v>
      </c>
      <c r="G3" s="209">
        <v>2000</v>
      </c>
      <c r="H3" s="209">
        <v>2000</v>
      </c>
      <c r="I3" s="209">
        <v>2000</v>
      </c>
      <c r="J3" s="209">
        <v>2000</v>
      </c>
      <c r="K3" s="209">
        <v>2000</v>
      </c>
      <c r="L3" s="209">
        <v>2000</v>
      </c>
      <c r="M3" s="209">
        <v>2000</v>
      </c>
      <c r="N3" s="292">
        <f>SUM(B3:M3)</f>
        <v>24000</v>
      </c>
      <c r="O3" s="209">
        <v>2500</v>
      </c>
      <c r="P3" s="209">
        <v>2500</v>
      </c>
      <c r="Q3" s="209">
        <v>2500</v>
      </c>
      <c r="R3" s="209">
        <v>2500</v>
      </c>
      <c r="S3" s="209">
        <v>2500</v>
      </c>
      <c r="T3" s="209">
        <v>2500</v>
      </c>
      <c r="U3" s="209">
        <v>2500</v>
      </c>
      <c r="V3" s="209">
        <v>2500</v>
      </c>
      <c r="W3" s="209">
        <v>2500</v>
      </c>
      <c r="X3" s="209">
        <v>2500</v>
      </c>
      <c r="Y3" s="209">
        <v>2500</v>
      </c>
      <c r="Z3" s="209">
        <v>2500</v>
      </c>
      <c r="AA3" s="292">
        <f>SUM(O3:Z3)</f>
        <v>30000</v>
      </c>
      <c r="AB3" s="296">
        <v>31500</v>
      </c>
      <c r="AC3" s="296">
        <v>35000</v>
      </c>
      <c r="AD3" s="296">
        <v>42000</v>
      </c>
      <c r="AE3" s="188"/>
      <c r="AF3" s="199"/>
    </row>
    <row r="4" spans="1:32" ht="15.75">
      <c r="A4" s="196" t="s">
        <v>22</v>
      </c>
      <c r="B4" s="203">
        <v>7</v>
      </c>
      <c r="C4" s="203">
        <v>7</v>
      </c>
      <c r="D4" s="203">
        <v>7</v>
      </c>
      <c r="E4" s="203">
        <v>7</v>
      </c>
      <c r="F4" s="203">
        <v>7</v>
      </c>
      <c r="G4" s="203">
        <v>7</v>
      </c>
      <c r="H4" s="203">
        <v>7</v>
      </c>
      <c r="I4" s="203">
        <v>7</v>
      </c>
      <c r="J4" s="203">
        <v>7</v>
      </c>
      <c r="K4" s="203">
        <v>7</v>
      </c>
      <c r="L4" s="203">
        <v>7</v>
      </c>
      <c r="M4" s="203">
        <v>7</v>
      </c>
      <c r="N4" s="293">
        <f>SUM(B4:M4)/12</f>
        <v>7</v>
      </c>
      <c r="O4" s="203">
        <v>7.5</v>
      </c>
      <c r="P4" s="203">
        <v>7.5</v>
      </c>
      <c r="Q4" s="203">
        <v>7.5</v>
      </c>
      <c r="R4" s="203">
        <v>7.5</v>
      </c>
      <c r="S4" s="203">
        <v>7.5</v>
      </c>
      <c r="T4" s="203">
        <v>7.5</v>
      </c>
      <c r="U4" s="203">
        <v>7.5</v>
      </c>
      <c r="V4" s="203">
        <v>7.5</v>
      </c>
      <c r="W4" s="203">
        <v>7.5</v>
      </c>
      <c r="X4" s="203">
        <v>7.5</v>
      </c>
      <c r="Y4" s="203">
        <v>7.5</v>
      </c>
      <c r="Z4" s="203">
        <v>7.5</v>
      </c>
      <c r="AA4" s="293">
        <f>SUM(O4:Z4)/12</f>
        <v>7.5</v>
      </c>
      <c r="AB4" s="297">
        <v>7.88</v>
      </c>
      <c r="AC4" s="297">
        <v>8.27</v>
      </c>
      <c r="AD4" s="297">
        <v>8.68</v>
      </c>
      <c r="AE4" s="188"/>
      <c r="AF4" s="199"/>
    </row>
    <row r="5" spans="1:36" ht="15.75">
      <c r="A5" s="154" t="s">
        <v>186</v>
      </c>
      <c r="B5" s="155">
        <f aca="true" t="shared" si="2" ref="B5:M5">B3*B4</f>
        <v>14000</v>
      </c>
      <c r="C5" s="155">
        <f t="shared" si="2"/>
        <v>14000</v>
      </c>
      <c r="D5" s="155">
        <f t="shared" si="2"/>
        <v>14000</v>
      </c>
      <c r="E5" s="155">
        <f t="shared" si="2"/>
        <v>14000</v>
      </c>
      <c r="F5" s="155">
        <f t="shared" si="2"/>
        <v>14000</v>
      </c>
      <c r="G5" s="155">
        <f t="shared" si="2"/>
        <v>14000</v>
      </c>
      <c r="H5" s="155">
        <f t="shared" si="2"/>
        <v>14000</v>
      </c>
      <c r="I5" s="155">
        <f t="shared" si="2"/>
        <v>14000</v>
      </c>
      <c r="J5" s="155">
        <f t="shared" si="2"/>
        <v>14000</v>
      </c>
      <c r="K5" s="155">
        <f t="shared" si="2"/>
        <v>14000</v>
      </c>
      <c r="L5" s="155">
        <f t="shared" si="2"/>
        <v>14000</v>
      </c>
      <c r="M5" s="155">
        <f t="shared" si="2"/>
        <v>14000</v>
      </c>
      <c r="N5" s="294">
        <f>SUM(B5:M5)</f>
        <v>168000</v>
      </c>
      <c r="O5" s="155">
        <f aca="true" t="shared" si="3" ref="O5:Z5">O3*O4</f>
        <v>18750</v>
      </c>
      <c r="P5" s="155">
        <f t="shared" si="3"/>
        <v>18750</v>
      </c>
      <c r="Q5" s="155">
        <f t="shared" si="3"/>
        <v>18750</v>
      </c>
      <c r="R5" s="155">
        <f t="shared" si="3"/>
        <v>18750</v>
      </c>
      <c r="S5" s="155">
        <f t="shared" si="3"/>
        <v>18750</v>
      </c>
      <c r="T5" s="155">
        <f t="shared" si="3"/>
        <v>18750</v>
      </c>
      <c r="U5" s="155">
        <f t="shared" si="3"/>
        <v>18750</v>
      </c>
      <c r="V5" s="155">
        <f t="shared" si="3"/>
        <v>18750</v>
      </c>
      <c r="W5" s="155">
        <f t="shared" si="3"/>
        <v>18750</v>
      </c>
      <c r="X5" s="155">
        <f t="shared" si="3"/>
        <v>18750</v>
      </c>
      <c r="Y5" s="155">
        <f t="shared" si="3"/>
        <v>18750</v>
      </c>
      <c r="Z5" s="155">
        <f t="shared" si="3"/>
        <v>18750</v>
      </c>
      <c r="AA5" s="294">
        <f>SUM(O5:Z5)</f>
        <v>225000</v>
      </c>
      <c r="AB5" s="294">
        <f>AB3*AB4</f>
        <v>248220</v>
      </c>
      <c r="AC5" s="294">
        <f>AC3*AC4</f>
        <v>289450</v>
      </c>
      <c r="AD5" s="294">
        <f>AD3*AD4</f>
        <v>364560</v>
      </c>
      <c r="AE5" s="188"/>
      <c r="AF5" s="199"/>
      <c r="AG5" s="133">
        <v>0</v>
      </c>
      <c r="AI5" s="44">
        <v>0</v>
      </c>
      <c r="AJ5" s="99">
        <v>0</v>
      </c>
    </row>
    <row r="6" spans="1:32" ht="15.75">
      <c r="A6" s="199"/>
      <c r="B6" s="188"/>
      <c r="C6" s="188"/>
      <c r="D6" s="188"/>
      <c r="E6" s="188"/>
      <c r="F6" s="188"/>
      <c r="G6" s="188"/>
      <c r="H6" s="188"/>
      <c r="I6" s="188"/>
      <c r="J6" s="188"/>
      <c r="K6" s="188"/>
      <c r="L6" s="188"/>
      <c r="M6" s="188"/>
      <c r="N6" s="291"/>
      <c r="O6" s="188"/>
      <c r="P6" s="188"/>
      <c r="Q6" s="188"/>
      <c r="R6" s="188"/>
      <c r="S6" s="188"/>
      <c r="T6" s="188"/>
      <c r="U6" s="188"/>
      <c r="V6" s="188"/>
      <c r="W6" s="188"/>
      <c r="X6" s="188"/>
      <c r="Y6" s="188"/>
      <c r="Z6" s="188"/>
      <c r="AA6" s="291"/>
      <c r="AB6" s="291"/>
      <c r="AC6" s="291"/>
      <c r="AD6" s="291"/>
      <c r="AE6" s="188"/>
      <c r="AF6" s="199"/>
    </row>
    <row r="7" spans="1:32" ht="15.75">
      <c r="A7" s="146" t="s">
        <v>94</v>
      </c>
      <c r="B7" s="147">
        <f aca="true" t="shared" si="4" ref="B7:M7">B5</f>
        <v>14000</v>
      </c>
      <c r="C7" s="147">
        <f t="shared" si="4"/>
        <v>14000</v>
      </c>
      <c r="D7" s="147">
        <f t="shared" si="4"/>
        <v>14000</v>
      </c>
      <c r="E7" s="147">
        <f t="shared" si="4"/>
        <v>14000</v>
      </c>
      <c r="F7" s="147">
        <f t="shared" si="4"/>
        <v>14000</v>
      </c>
      <c r="G7" s="147">
        <f t="shared" si="4"/>
        <v>14000</v>
      </c>
      <c r="H7" s="147">
        <f t="shared" si="4"/>
        <v>14000</v>
      </c>
      <c r="I7" s="147">
        <f t="shared" si="4"/>
        <v>14000</v>
      </c>
      <c r="J7" s="147">
        <f t="shared" si="4"/>
        <v>14000</v>
      </c>
      <c r="K7" s="147">
        <f t="shared" si="4"/>
        <v>14000</v>
      </c>
      <c r="L7" s="147">
        <f t="shared" si="4"/>
        <v>14000</v>
      </c>
      <c r="M7" s="147">
        <f t="shared" si="4"/>
        <v>14000</v>
      </c>
      <c r="N7" s="295">
        <f>SUM(B7:M7)</f>
        <v>168000</v>
      </c>
      <c r="O7" s="147">
        <f aca="true" t="shared" si="5" ref="O7:Z7">O5</f>
        <v>18750</v>
      </c>
      <c r="P7" s="147">
        <f t="shared" si="5"/>
        <v>18750</v>
      </c>
      <c r="Q7" s="147">
        <f t="shared" si="5"/>
        <v>18750</v>
      </c>
      <c r="R7" s="147">
        <f t="shared" si="5"/>
        <v>18750</v>
      </c>
      <c r="S7" s="147">
        <f t="shared" si="5"/>
        <v>18750</v>
      </c>
      <c r="T7" s="147">
        <f t="shared" si="5"/>
        <v>18750</v>
      </c>
      <c r="U7" s="147">
        <f t="shared" si="5"/>
        <v>18750</v>
      </c>
      <c r="V7" s="147">
        <f t="shared" si="5"/>
        <v>18750</v>
      </c>
      <c r="W7" s="147">
        <f t="shared" si="5"/>
        <v>18750</v>
      </c>
      <c r="X7" s="147">
        <f t="shared" si="5"/>
        <v>18750</v>
      </c>
      <c r="Y7" s="147">
        <f t="shared" si="5"/>
        <v>18750</v>
      </c>
      <c r="Z7" s="147">
        <f t="shared" si="5"/>
        <v>18750</v>
      </c>
      <c r="AA7" s="295">
        <f>SUM(O7:Z7)</f>
        <v>225000</v>
      </c>
      <c r="AB7" s="295">
        <f>AB5</f>
        <v>248220</v>
      </c>
      <c r="AC7" s="295">
        <f>AC5</f>
        <v>289450</v>
      </c>
      <c r="AD7" s="295">
        <f>AD5</f>
        <v>364560</v>
      </c>
      <c r="AE7" s="199"/>
      <c r="AF7" s="199"/>
    </row>
    <row r="8" spans="1:32" ht="1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row>
    <row r="9" spans="1:36" ht="15" hidden="1">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37"/>
      <c r="AI9" s="37"/>
      <c r="AJ9" s="93"/>
    </row>
    <row r="10" spans="1:36" s="39" customFormat="1" ht="15" hidden="1">
      <c r="A10" s="210" t="s">
        <v>212</v>
      </c>
      <c r="B10" s="210">
        <f aca="true" t="shared" si="6" ref="B10:M10">SUMPRODUCT(B2:B7,$AG2:$AG7)</f>
        <v>0</v>
      </c>
      <c r="C10" s="210">
        <f t="shared" si="6"/>
        <v>0</v>
      </c>
      <c r="D10" s="210">
        <f t="shared" si="6"/>
        <v>0</v>
      </c>
      <c r="E10" s="210">
        <f t="shared" si="6"/>
        <v>0</v>
      </c>
      <c r="F10" s="210">
        <f t="shared" si="6"/>
        <v>0</v>
      </c>
      <c r="G10" s="210">
        <f t="shared" si="6"/>
        <v>0</v>
      </c>
      <c r="H10" s="210">
        <f t="shared" si="6"/>
        <v>0</v>
      </c>
      <c r="I10" s="210">
        <f t="shared" si="6"/>
        <v>0</v>
      </c>
      <c r="J10" s="210">
        <f t="shared" si="6"/>
        <v>0</v>
      </c>
      <c r="K10" s="210">
        <f t="shared" si="6"/>
        <v>0</v>
      </c>
      <c r="L10" s="210">
        <f t="shared" si="6"/>
        <v>0</v>
      </c>
      <c r="M10" s="210">
        <f t="shared" si="6"/>
        <v>0</v>
      </c>
      <c r="N10" s="210"/>
      <c r="O10" s="210">
        <f aca="true" t="shared" si="7" ref="O10:Z10">SUMPRODUCT(O2:O7,$AG2:$AG7)</f>
        <v>0</v>
      </c>
      <c r="P10" s="210">
        <f t="shared" si="7"/>
        <v>0</v>
      </c>
      <c r="Q10" s="210">
        <f t="shared" si="7"/>
        <v>0</v>
      </c>
      <c r="R10" s="210">
        <f t="shared" si="7"/>
        <v>0</v>
      </c>
      <c r="S10" s="210">
        <f t="shared" si="7"/>
        <v>0</v>
      </c>
      <c r="T10" s="210">
        <f t="shared" si="7"/>
        <v>0</v>
      </c>
      <c r="U10" s="210">
        <f t="shared" si="7"/>
        <v>0</v>
      </c>
      <c r="V10" s="210">
        <f t="shared" si="7"/>
        <v>0</v>
      </c>
      <c r="W10" s="210">
        <f t="shared" si="7"/>
        <v>0</v>
      </c>
      <c r="X10" s="210">
        <f t="shared" si="7"/>
        <v>0</v>
      </c>
      <c r="Y10" s="210">
        <f t="shared" si="7"/>
        <v>0</v>
      </c>
      <c r="Z10" s="210">
        <f t="shared" si="7"/>
        <v>0</v>
      </c>
      <c r="AA10" s="210"/>
      <c r="AB10" s="210">
        <f>SUMPRODUCT(AB2:AB7,$AG2:$AG7)</f>
        <v>0</v>
      </c>
      <c r="AC10" s="210">
        <f>SUMPRODUCT(AC2:AC7,$AG2:$AG7)</f>
        <v>0</v>
      </c>
      <c r="AD10" s="210">
        <f>SUMPRODUCT(AD2:AD7,$AG2:$AG7)</f>
        <v>0</v>
      </c>
      <c r="AE10" s="210"/>
      <c r="AF10" s="210"/>
      <c r="AG10" s="101"/>
      <c r="AH10" s="101"/>
      <c r="AI10" s="101"/>
      <c r="AJ10" s="101"/>
    </row>
    <row r="11" spans="1:36" s="4" customFormat="1" ht="15" hidden="1">
      <c r="A11" s="211"/>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101"/>
      <c r="AH11" s="101"/>
      <c r="AI11" s="101"/>
      <c r="AJ11" s="101"/>
    </row>
    <row r="12" spans="1:36" s="4" customFormat="1" ht="15" hidden="1">
      <c r="A12" s="211" t="s">
        <v>81</v>
      </c>
      <c r="B12" s="212">
        <f aca="true" t="shared" si="8" ref="B12:M12">B7-B13</f>
        <v>14000</v>
      </c>
      <c r="C12" s="212">
        <f t="shared" si="8"/>
        <v>14000</v>
      </c>
      <c r="D12" s="212">
        <f t="shared" si="8"/>
        <v>14000</v>
      </c>
      <c r="E12" s="212">
        <f t="shared" si="8"/>
        <v>14000</v>
      </c>
      <c r="F12" s="212">
        <f t="shared" si="8"/>
        <v>14000</v>
      </c>
      <c r="G12" s="212">
        <f t="shared" si="8"/>
        <v>14000</v>
      </c>
      <c r="H12" s="212">
        <f t="shared" si="8"/>
        <v>14000</v>
      </c>
      <c r="I12" s="212">
        <f t="shared" si="8"/>
        <v>14000</v>
      </c>
      <c r="J12" s="212">
        <f t="shared" si="8"/>
        <v>14000</v>
      </c>
      <c r="K12" s="212">
        <f t="shared" si="8"/>
        <v>14000</v>
      </c>
      <c r="L12" s="212">
        <f t="shared" si="8"/>
        <v>14000</v>
      </c>
      <c r="M12" s="212">
        <f t="shared" si="8"/>
        <v>14000</v>
      </c>
      <c r="N12" s="211"/>
      <c r="O12" s="212">
        <f aca="true" t="shared" si="9" ref="O12:Z12">O7-O13</f>
        <v>18750</v>
      </c>
      <c r="P12" s="212">
        <f t="shared" si="9"/>
        <v>18750</v>
      </c>
      <c r="Q12" s="212">
        <f t="shared" si="9"/>
        <v>18750</v>
      </c>
      <c r="R12" s="212">
        <f t="shared" si="9"/>
        <v>18750</v>
      </c>
      <c r="S12" s="212">
        <f t="shared" si="9"/>
        <v>18750</v>
      </c>
      <c r="T12" s="212">
        <f t="shared" si="9"/>
        <v>18750</v>
      </c>
      <c r="U12" s="212">
        <f t="shared" si="9"/>
        <v>18750</v>
      </c>
      <c r="V12" s="212">
        <f t="shared" si="9"/>
        <v>18750</v>
      </c>
      <c r="W12" s="212">
        <f t="shared" si="9"/>
        <v>18750</v>
      </c>
      <c r="X12" s="212">
        <f t="shared" si="9"/>
        <v>18750</v>
      </c>
      <c r="Y12" s="212">
        <f t="shared" si="9"/>
        <v>18750</v>
      </c>
      <c r="Z12" s="212">
        <f t="shared" si="9"/>
        <v>18750</v>
      </c>
      <c r="AA12" s="211"/>
      <c r="AB12" s="212">
        <f>AB7-AB13</f>
        <v>248220</v>
      </c>
      <c r="AC12" s="212">
        <f>AC7-AC13</f>
        <v>289450</v>
      </c>
      <c r="AD12" s="212">
        <f>AD7-AD13</f>
        <v>364560</v>
      </c>
      <c r="AE12" s="211"/>
      <c r="AF12" s="211"/>
      <c r="AG12" s="101"/>
      <c r="AH12" s="101"/>
      <c r="AI12" s="101"/>
      <c r="AJ12" s="101"/>
    </row>
    <row r="13" spans="1:36" s="4" customFormat="1" ht="15" hidden="1">
      <c r="A13" s="211" t="s">
        <v>142</v>
      </c>
      <c r="B13" s="212">
        <f aca="true" t="shared" si="10" ref="B13:M13">SUMPRODUCT(B2:B7,$AI2:$AI7)</f>
        <v>0</v>
      </c>
      <c r="C13" s="212">
        <f t="shared" si="10"/>
        <v>0</v>
      </c>
      <c r="D13" s="212">
        <f t="shared" si="10"/>
        <v>0</v>
      </c>
      <c r="E13" s="212">
        <f t="shared" si="10"/>
        <v>0</v>
      </c>
      <c r="F13" s="212">
        <f t="shared" si="10"/>
        <v>0</v>
      </c>
      <c r="G13" s="212">
        <f t="shared" si="10"/>
        <v>0</v>
      </c>
      <c r="H13" s="212">
        <f t="shared" si="10"/>
        <v>0</v>
      </c>
      <c r="I13" s="212">
        <f t="shared" si="10"/>
        <v>0</v>
      </c>
      <c r="J13" s="212">
        <f t="shared" si="10"/>
        <v>0</v>
      </c>
      <c r="K13" s="212">
        <f t="shared" si="10"/>
        <v>0</v>
      </c>
      <c r="L13" s="212">
        <f t="shared" si="10"/>
        <v>0</v>
      </c>
      <c r="M13" s="212">
        <f t="shared" si="10"/>
        <v>0</v>
      </c>
      <c r="N13" s="212"/>
      <c r="O13" s="212">
        <f aca="true" t="shared" si="11" ref="O13:Z13">SUMPRODUCT(O2:O7,$AI2:$AI7)</f>
        <v>0</v>
      </c>
      <c r="P13" s="212">
        <f t="shared" si="11"/>
        <v>0</v>
      </c>
      <c r="Q13" s="212">
        <f t="shared" si="11"/>
        <v>0</v>
      </c>
      <c r="R13" s="212">
        <f t="shared" si="11"/>
        <v>0</v>
      </c>
      <c r="S13" s="212">
        <f t="shared" si="11"/>
        <v>0</v>
      </c>
      <c r="T13" s="212">
        <f t="shared" si="11"/>
        <v>0</v>
      </c>
      <c r="U13" s="212">
        <f t="shared" si="11"/>
        <v>0</v>
      </c>
      <c r="V13" s="212">
        <f t="shared" si="11"/>
        <v>0</v>
      </c>
      <c r="W13" s="212">
        <f t="shared" si="11"/>
        <v>0</v>
      </c>
      <c r="X13" s="212">
        <f t="shared" si="11"/>
        <v>0</v>
      </c>
      <c r="Y13" s="212">
        <f t="shared" si="11"/>
        <v>0</v>
      </c>
      <c r="Z13" s="212">
        <f t="shared" si="11"/>
        <v>0</v>
      </c>
      <c r="AA13" s="212"/>
      <c r="AB13" s="212">
        <f>SUMPRODUCT(AB2:AB7,$AI2:$AI7)</f>
        <v>0</v>
      </c>
      <c r="AC13" s="212">
        <f>SUMPRODUCT(AC2:AC7,$AI2:$AI7)</f>
        <v>0</v>
      </c>
      <c r="AD13" s="212">
        <f>SUMPRODUCT(AD2:AD7,$AI2:$AI7)</f>
        <v>0</v>
      </c>
      <c r="AE13" s="211"/>
      <c r="AF13" s="211"/>
      <c r="AG13" s="37"/>
      <c r="AH13" s="101"/>
      <c r="AI13" s="37"/>
      <c r="AJ13" s="93"/>
    </row>
    <row r="14" spans="1:36" s="4" customFormat="1" ht="15" hidden="1">
      <c r="A14" s="211" t="s">
        <v>13</v>
      </c>
      <c r="B14" s="211">
        <f aca="true" t="shared" si="12" ref="B14:M14">IF(B13=0,0,SUMPRODUCT(B2:B7,$AI2:$AI7,$AJ2:$AJ7)/B13)</f>
        <v>0</v>
      </c>
      <c r="C14" s="211">
        <f t="shared" si="12"/>
        <v>0</v>
      </c>
      <c r="D14" s="211">
        <f t="shared" si="12"/>
        <v>0</v>
      </c>
      <c r="E14" s="211">
        <f t="shared" si="12"/>
        <v>0</v>
      </c>
      <c r="F14" s="211">
        <f t="shared" si="12"/>
        <v>0</v>
      </c>
      <c r="G14" s="211">
        <f t="shared" si="12"/>
        <v>0</v>
      </c>
      <c r="H14" s="211">
        <f t="shared" si="12"/>
        <v>0</v>
      </c>
      <c r="I14" s="211">
        <f t="shared" si="12"/>
        <v>0</v>
      </c>
      <c r="J14" s="211">
        <f t="shared" si="12"/>
        <v>0</v>
      </c>
      <c r="K14" s="211">
        <f t="shared" si="12"/>
        <v>0</v>
      </c>
      <c r="L14" s="211">
        <f t="shared" si="12"/>
        <v>0</v>
      </c>
      <c r="M14" s="211">
        <f t="shared" si="12"/>
        <v>0</v>
      </c>
      <c r="N14" s="211"/>
      <c r="O14" s="211">
        <f aca="true" t="shared" si="13" ref="O14:Z14">IF(O13=0,0,SUMPRODUCT(O2:O7,$AI2:$AI7,$AJ2:$AJ7)/O13)</f>
        <v>0</v>
      </c>
      <c r="P14" s="211">
        <f t="shared" si="13"/>
        <v>0</v>
      </c>
      <c r="Q14" s="211">
        <f t="shared" si="13"/>
        <v>0</v>
      </c>
      <c r="R14" s="211">
        <f t="shared" si="13"/>
        <v>0</v>
      </c>
      <c r="S14" s="211">
        <f t="shared" si="13"/>
        <v>0</v>
      </c>
      <c r="T14" s="211">
        <f t="shared" si="13"/>
        <v>0</v>
      </c>
      <c r="U14" s="211">
        <f t="shared" si="13"/>
        <v>0</v>
      </c>
      <c r="V14" s="211">
        <f t="shared" si="13"/>
        <v>0</v>
      </c>
      <c r="W14" s="211">
        <f t="shared" si="13"/>
        <v>0</v>
      </c>
      <c r="X14" s="211">
        <f t="shared" si="13"/>
        <v>0</v>
      </c>
      <c r="Y14" s="211">
        <f t="shared" si="13"/>
        <v>0</v>
      </c>
      <c r="Z14" s="211">
        <f t="shared" si="13"/>
        <v>0</v>
      </c>
      <c r="AA14" s="211"/>
      <c r="AB14" s="211">
        <f>IF(AB7=0,0,SUMPRODUCT(AB2:AB7,$AJ2:$AJ7)/AB7)</f>
        <v>0</v>
      </c>
      <c r="AC14" s="211">
        <f>IF(AC7=0,0,SUMPRODUCT(AC2:AC7,$AJ2:$AJ7)/AC7)</f>
        <v>0</v>
      </c>
      <c r="AD14" s="211">
        <f>IF(AD7=0,0,SUMPRODUCT(AD2:AD7,$AJ2:$AJ7)/AD7)</f>
        <v>0</v>
      </c>
      <c r="AE14" s="211"/>
      <c r="AF14" s="211"/>
      <c r="AG14" s="101"/>
      <c r="AH14" s="101"/>
      <c r="AI14" s="101"/>
      <c r="AJ14" s="101"/>
    </row>
    <row r="15" spans="1:32" ht="15">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row>
    <row r="16" spans="1:32" ht="15">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row>
    <row r="17" spans="1:32" ht="15">
      <c r="A17" s="199"/>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row>
    <row r="18" spans="1:36" ht="15">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39"/>
      <c r="AH18" s="139"/>
      <c r="AI18" s="139"/>
      <c r="AJ18" s="139"/>
    </row>
    <row r="19" spans="1:32" ht="15">
      <c r="A19" s="199"/>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row>
    <row r="20" spans="1:32" ht="15">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row>
    <row r="21" spans="1:32" ht="14.25">
      <c r="A21" s="200"/>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row>
    <row r="22" spans="1:32" ht="14.25">
      <c r="A22" s="200"/>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row>
    <row r="23" spans="1:32" ht="14.25">
      <c r="A23" s="200"/>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A53" sqref="A53"/>
    </sheetView>
  </sheetViews>
  <sheetFormatPr defaultColWidth="9.14062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1" width="9.421875" style="0" customWidth="1"/>
    <col min="32" max="37" width="9.421875" style="101" hidden="1" customWidth="1"/>
    <col min="38" max="38" width="9.421875" style="0" customWidth="1"/>
  </cols>
  <sheetData>
    <row r="1" spans="1:38" ht="15.75" customHeight="1">
      <c r="A1" s="141" t="str">
        <f>"COSTO DE VENTAS ("&amp;Introducción!E17&amp;")"</f>
        <v>COSTO DE VENTAS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44"/>
      <c r="AF1" s="145" t="s">
        <v>113</v>
      </c>
      <c r="AG1" s="145" t="s">
        <v>55</v>
      </c>
      <c r="AH1" s="145" t="s">
        <v>149</v>
      </c>
      <c r="AI1" s="145"/>
      <c r="AJ1" s="145" t="s">
        <v>180</v>
      </c>
      <c r="AK1" s="145" t="s">
        <v>204</v>
      </c>
      <c r="AL1" s="145"/>
    </row>
    <row r="2" spans="1:38" ht="12.75">
      <c r="A2" s="145"/>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51"/>
      <c r="AG2" s="151"/>
      <c r="AH2" s="151"/>
      <c r="AI2" s="151"/>
      <c r="AJ2" s="151"/>
      <c r="AK2" s="151"/>
      <c r="AL2" s="145"/>
    </row>
    <row r="3" spans="1:38" s="200" customFormat="1" ht="15">
      <c r="A3" s="196" t="s">
        <v>203</v>
      </c>
      <c r="B3" s="197">
        <f>Ingresos!B3</f>
        <v>2000</v>
      </c>
      <c r="C3" s="197">
        <f>Ingresos!C3</f>
        <v>2000</v>
      </c>
      <c r="D3" s="197">
        <f>Ingresos!D3</f>
        <v>2000</v>
      </c>
      <c r="E3" s="197">
        <f>Ingresos!E3</f>
        <v>2000</v>
      </c>
      <c r="F3" s="197">
        <f>Ingresos!F3</f>
        <v>2000</v>
      </c>
      <c r="G3" s="197">
        <f>Ingresos!G3</f>
        <v>2000</v>
      </c>
      <c r="H3" s="197">
        <f>Ingresos!H3</f>
        <v>2000</v>
      </c>
      <c r="I3" s="197">
        <f>Ingresos!I3</f>
        <v>2000</v>
      </c>
      <c r="J3" s="197">
        <f>Ingresos!J3</f>
        <v>2000</v>
      </c>
      <c r="K3" s="197">
        <f>Ingresos!K3</f>
        <v>2000</v>
      </c>
      <c r="L3" s="197">
        <f>Ingresos!L3</f>
        <v>2000</v>
      </c>
      <c r="M3" s="197">
        <f>Ingresos!M3</f>
        <v>2000</v>
      </c>
      <c r="N3" s="197">
        <f>SUM(B3:M3)</f>
        <v>24000</v>
      </c>
      <c r="O3" s="197">
        <f>Ingresos!O3</f>
        <v>2500</v>
      </c>
      <c r="P3" s="197">
        <f>Ingresos!P3</f>
        <v>2500</v>
      </c>
      <c r="Q3" s="197">
        <f>Ingresos!Q3</f>
        <v>2500</v>
      </c>
      <c r="R3" s="197">
        <f>Ingresos!R3</f>
        <v>2500</v>
      </c>
      <c r="S3" s="197">
        <f>Ingresos!S3</f>
        <v>2500</v>
      </c>
      <c r="T3" s="197">
        <f>Ingresos!T3</f>
        <v>2500</v>
      </c>
      <c r="U3" s="197">
        <f>Ingresos!U3</f>
        <v>2500</v>
      </c>
      <c r="V3" s="197">
        <f>Ingresos!V3</f>
        <v>2500</v>
      </c>
      <c r="W3" s="197">
        <f>Ingresos!W3</f>
        <v>2500</v>
      </c>
      <c r="X3" s="197">
        <f>Ingresos!X3</f>
        <v>2500</v>
      </c>
      <c r="Y3" s="197">
        <f>Ingresos!Y3</f>
        <v>2500</v>
      </c>
      <c r="Z3" s="197">
        <f>Ingresos!Z3</f>
        <v>2500</v>
      </c>
      <c r="AA3" s="197">
        <f>SUM(O3:Z3)</f>
        <v>30000</v>
      </c>
      <c r="AB3" s="197">
        <f>Ingresos!AB3</f>
        <v>31500</v>
      </c>
      <c r="AC3" s="197">
        <f>Ingresos!AC3</f>
        <v>35000</v>
      </c>
      <c r="AD3" s="197">
        <f>Ingresos!AD3</f>
        <v>42000</v>
      </c>
      <c r="AE3" s="188"/>
      <c r="AF3" s="198"/>
      <c r="AG3" s="198"/>
      <c r="AH3" s="198"/>
      <c r="AI3" s="198"/>
      <c r="AJ3" s="198"/>
      <c r="AK3" s="198"/>
      <c r="AL3" s="199"/>
    </row>
    <row r="4" spans="1:38" s="200" customFormat="1" ht="15">
      <c r="A4" s="196"/>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188"/>
      <c r="AF4" s="198"/>
      <c r="AG4" s="198"/>
      <c r="AH4" s="198"/>
      <c r="AI4" s="198"/>
      <c r="AJ4" s="198"/>
      <c r="AK4" s="198"/>
      <c r="AL4" s="199"/>
    </row>
    <row r="5" spans="1:38" s="200" customFormat="1" ht="15">
      <c r="A5" s="202" t="s">
        <v>32</v>
      </c>
      <c r="B5" s="203">
        <v>1.5</v>
      </c>
      <c r="C5" s="203">
        <v>1.5</v>
      </c>
      <c r="D5" s="203">
        <v>1.5</v>
      </c>
      <c r="E5" s="203">
        <v>1.5</v>
      </c>
      <c r="F5" s="203">
        <v>1.5</v>
      </c>
      <c r="G5" s="203">
        <v>1.5</v>
      </c>
      <c r="H5" s="203">
        <v>1.5</v>
      </c>
      <c r="I5" s="203">
        <v>1.5</v>
      </c>
      <c r="J5" s="203">
        <v>1.5</v>
      </c>
      <c r="K5" s="203">
        <v>1.5</v>
      </c>
      <c r="L5" s="203">
        <v>1.5</v>
      </c>
      <c r="M5" s="203">
        <v>1.5</v>
      </c>
      <c r="N5" s="204">
        <f>SUM(B5:M5)/12</f>
        <v>1.5</v>
      </c>
      <c r="O5" s="203">
        <v>1.5</v>
      </c>
      <c r="P5" s="203">
        <v>1.5</v>
      </c>
      <c r="Q5" s="203">
        <v>1.5</v>
      </c>
      <c r="R5" s="203">
        <v>1.5</v>
      </c>
      <c r="S5" s="203">
        <v>1.5</v>
      </c>
      <c r="T5" s="203">
        <v>1.5</v>
      </c>
      <c r="U5" s="203">
        <v>1.5</v>
      </c>
      <c r="V5" s="203">
        <v>1.5</v>
      </c>
      <c r="W5" s="203">
        <v>1.5</v>
      </c>
      <c r="X5" s="203">
        <v>1.5</v>
      </c>
      <c r="Y5" s="203">
        <v>1.5</v>
      </c>
      <c r="Z5" s="203">
        <v>1.5</v>
      </c>
      <c r="AA5" s="204">
        <f>SUM(O5:Z5)/12</f>
        <v>1.5</v>
      </c>
      <c r="AB5" s="203">
        <v>1.58</v>
      </c>
      <c r="AC5" s="203">
        <v>1.66</v>
      </c>
      <c r="AD5" s="203">
        <v>1.74</v>
      </c>
      <c r="AE5" s="188"/>
      <c r="AF5" s="198">
        <v>1</v>
      </c>
      <c r="AG5" s="198">
        <v>0</v>
      </c>
      <c r="AH5" s="205">
        <v>0</v>
      </c>
      <c r="AI5" s="198"/>
      <c r="AJ5" s="206">
        <v>0</v>
      </c>
      <c r="AK5" s="207">
        <v>0</v>
      </c>
      <c r="AL5" s="199"/>
    </row>
    <row r="6" spans="1:38" s="200" customFormat="1" ht="15">
      <c r="A6" s="202" t="s">
        <v>222</v>
      </c>
      <c r="B6" s="203">
        <v>1.5</v>
      </c>
      <c r="C6" s="203">
        <v>1.5</v>
      </c>
      <c r="D6" s="203">
        <v>1.5</v>
      </c>
      <c r="E6" s="203">
        <v>1.5</v>
      </c>
      <c r="F6" s="203">
        <v>1.5</v>
      </c>
      <c r="G6" s="203">
        <v>1.5</v>
      </c>
      <c r="H6" s="203">
        <v>1.5</v>
      </c>
      <c r="I6" s="203">
        <v>1.5</v>
      </c>
      <c r="J6" s="203">
        <v>1.5</v>
      </c>
      <c r="K6" s="203">
        <v>1.5</v>
      </c>
      <c r="L6" s="203">
        <v>1.5</v>
      </c>
      <c r="M6" s="203">
        <v>1.5</v>
      </c>
      <c r="N6" s="204">
        <f>SUM(B6:M6)/12</f>
        <v>1.5</v>
      </c>
      <c r="O6" s="203">
        <v>1.7</v>
      </c>
      <c r="P6" s="203">
        <v>1.7</v>
      </c>
      <c r="Q6" s="203">
        <v>1.7</v>
      </c>
      <c r="R6" s="203">
        <v>1.7</v>
      </c>
      <c r="S6" s="203">
        <v>1.7</v>
      </c>
      <c r="T6" s="203">
        <v>1.7</v>
      </c>
      <c r="U6" s="203">
        <v>1.7</v>
      </c>
      <c r="V6" s="203">
        <v>1.7</v>
      </c>
      <c r="W6" s="203">
        <v>1.7</v>
      </c>
      <c r="X6" s="203">
        <v>1.7</v>
      </c>
      <c r="Y6" s="203">
        <v>1.7</v>
      </c>
      <c r="Z6" s="203">
        <v>1.7</v>
      </c>
      <c r="AA6" s="204">
        <f>SUM(O6:Z6)/12</f>
        <v>1.6999999999999995</v>
      </c>
      <c r="AB6" s="203">
        <v>1.79</v>
      </c>
      <c r="AC6" s="203">
        <v>1.88</v>
      </c>
      <c r="AD6" s="203">
        <v>1.97</v>
      </c>
      <c r="AE6" s="188"/>
      <c r="AF6" s="198">
        <v>0</v>
      </c>
      <c r="AG6" s="198">
        <v>0</v>
      </c>
      <c r="AH6" s="205">
        <v>0</v>
      </c>
      <c r="AI6" s="198"/>
      <c r="AJ6" s="206">
        <v>0</v>
      </c>
      <c r="AK6" s="207">
        <v>0</v>
      </c>
      <c r="AL6" s="199"/>
    </row>
    <row r="7" spans="1:38" s="200" customFormat="1" ht="15">
      <c r="A7" s="202" t="s">
        <v>231</v>
      </c>
      <c r="B7" s="203">
        <v>2</v>
      </c>
      <c r="C7" s="203">
        <v>2</v>
      </c>
      <c r="D7" s="203">
        <v>2</v>
      </c>
      <c r="E7" s="203">
        <v>2</v>
      </c>
      <c r="F7" s="203">
        <v>2</v>
      </c>
      <c r="G7" s="203">
        <v>2</v>
      </c>
      <c r="H7" s="203">
        <v>2</v>
      </c>
      <c r="I7" s="203">
        <v>2</v>
      </c>
      <c r="J7" s="203">
        <v>2</v>
      </c>
      <c r="K7" s="203">
        <v>2</v>
      </c>
      <c r="L7" s="203">
        <v>2</v>
      </c>
      <c r="M7" s="203">
        <v>2</v>
      </c>
      <c r="N7" s="204">
        <f>SUM(B7:M7)/12</f>
        <v>2</v>
      </c>
      <c r="O7" s="203">
        <v>2.2</v>
      </c>
      <c r="P7" s="203">
        <v>2.2</v>
      </c>
      <c r="Q7" s="203">
        <v>2.2</v>
      </c>
      <c r="R7" s="203">
        <v>2.2</v>
      </c>
      <c r="S7" s="203">
        <v>2.2</v>
      </c>
      <c r="T7" s="203">
        <v>2.2</v>
      </c>
      <c r="U7" s="203">
        <v>2.2</v>
      </c>
      <c r="V7" s="203">
        <v>2.2</v>
      </c>
      <c r="W7" s="203">
        <v>2.2</v>
      </c>
      <c r="X7" s="203">
        <v>2.2</v>
      </c>
      <c r="Y7" s="203">
        <v>2.2</v>
      </c>
      <c r="Z7" s="203">
        <v>2.2</v>
      </c>
      <c r="AA7" s="204">
        <f>SUM(O7:Z7)/12</f>
        <v>2.1999999999999997</v>
      </c>
      <c r="AB7" s="203">
        <v>2.29</v>
      </c>
      <c r="AC7" s="203">
        <v>2.38</v>
      </c>
      <c r="AD7" s="203">
        <v>2.48</v>
      </c>
      <c r="AE7" s="188"/>
      <c r="AF7" s="198">
        <v>0</v>
      </c>
      <c r="AG7" s="198">
        <v>0</v>
      </c>
      <c r="AH7" s="205">
        <v>0</v>
      </c>
      <c r="AI7" s="198"/>
      <c r="AJ7" s="206">
        <v>0</v>
      </c>
      <c r="AK7" s="207">
        <v>0</v>
      </c>
      <c r="AL7" s="199"/>
    </row>
    <row r="8" spans="1:38" s="200" customFormat="1" ht="15">
      <c r="A8" s="154" t="s">
        <v>227</v>
      </c>
      <c r="B8" s="208">
        <f aca="true" t="shared" si="2" ref="B8:M8">B5+B6+B7</f>
        <v>5</v>
      </c>
      <c r="C8" s="208">
        <f t="shared" si="2"/>
        <v>5</v>
      </c>
      <c r="D8" s="208">
        <f t="shared" si="2"/>
        <v>5</v>
      </c>
      <c r="E8" s="208">
        <f t="shared" si="2"/>
        <v>5</v>
      </c>
      <c r="F8" s="208">
        <f t="shared" si="2"/>
        <v>5</v>
      </c>
      <c r="G8" s="208">
        <f t="shared" si="2"/>
        <v>5</v>
      </c>
      <c r="H8" s="208">
        <f t="shared" si="2"/>
        <v>5</v>
      </c>
      <c r="I8" s="208">
        <f t="shared" si="2"/>
        <v>5</v>
      </c>
      <c r="J8" s="208">
        <f t="shared" si="2"/>
        <v>5</v>
      </c>
      <c r="K8" s="208">
        <f t="shared" si="2"/>
        <v>5</v>
      </c>
      <c r="L8" s="208">
        <f t="shared" si="2"/>
        <v>5</v>
      </c>
      <c r="M8" s="208">
        <f t="shared" si="2"/>
        <v>5</v>
      </c>
      <c r="N8" s="208">
        <f>SUM(B8:M8)/12</f>
        <v>5</v>
      </c>
      <c r="O8" s="208">
        <f aca="true" t="shared" si="3" ref="O8:Z8">O5+O6+O7</f>
        <v>5.4</v>
      </c>
      <c r="P8" s="208">
        <f t="shared" si="3"/>
        <v>5.4</v>
      </c>
      <c r="Q8" s="208">
        <f t="shared" si="3"/>
        <v>5.4</v>
      </c>
      <c r="R8" s="208">
        <f t="shared" si="3"/>
        <v>5.4</v>
      </c>
      <c r="S8" s="208">
        <f t="shared" si="3"/>
        <v>5.4</v>
      </c>
      <c r="T8" s="208">
        <f t="shared" si="3"/>
        <v>5.4</v>
      </c>
      <c r="U8" s="208">
        <f t="shared" si="3"/>
        <v>5.4</v>
      </c>
      <c r="V8" s="208">
        <f t="shared" si="3"/>
        <v>5.4</v>
      </c>
      <c r="W8" s="208">
        <f t="shared" si="3"/>
        <v>5.4</v>
      </c>
      <c r="X8" s="208">
        <f t="shared" si="3"/>
        <v>5.4</v>
      </c>
      <c r="Y8" s="208">
        <f t="shared" si="3"/>
        <v>5.4</v>
      </c>
      <c r="Z8" s="208">
        <f t="shared" si="3"/>
        <v>5.4</v>
      </c>
      <c r="AA8" s="208">
        <f>SUM(O8:Z8)/12</f>
        <v>5.3999999999999995</v>
      </c>
      <c r="AB8" s="208">
        <f>AB5+AB6+AB7</f>
        <v>5.66</v>
      </c>
      <c r="AC8" s="208">
        <f>AC5+AC6+AC7</f>
        <v>5.92</v>
      </c>
      <c r="AD8" s="208">
        <f>AD5+AD6+AD7</f>
        <v>6.1899999999999995</v>
      </c>
      <c r="AE8" s="188"/>
      <c r="AF8" s="198"/>
      <c r="AG8" s="198"/>
      <c r="AH8" s="198"/>
      <c r="AI8" s="198"/>
      <c r="AJ8" s="198"/>
      <c r="AK8" s="198"/>
      <c r="AL8" s="199"/>
    </row>
    <row r="9" spans="1:38" s="200" customFormat="1" ht="15">
      <c r="A9" s="154" t="s">
        <v>98</v>
      </c>
      <c r="B9" s="155">
        <f aca="true" t="shared" si="4" ref="B9:M9">B3*B8</f>
        <v>10000</v>
      </c>
      <c r="C9" s="155">
        <f t="shared" si="4"/>
        <v>10000</v>
      </c>
      <c r="D9" s="155">
        <f t="shared" si="4"/>
        <v>10000</v>
      </c>
      <c r="E9" s="155">
        <f t="shared" si="4"/>
        <v>10000</v>
      </c>
      <c r="F9" s="155">
        <f t="shared" si="4"/>
        <v>10000</v>
      </c>
      <c r="G9" s="155">
        <f t="shared" si="4"/>
        <v>10000</v>
      </c>
      <c r="H9" s="155">
        <f t="shared" si="4"/>
        <v>10000</v>
      </c>
      <c r="I9" s="155">
        <f t="shared" si="4"/>
        <v>10000</v>
      </c>
      <c r="J9" s="155">
        <f t="shared" si="4"/>
        <v>10000</v>
      </c>
      <c r="K9" s="155">
        <f t="shared" si="4"/>
        <v>10000</v>
      </c>
      <c r="L9" s="155">
        <f t="shared" si="4"/>
        <v>10000</v>
      </c>
      <c r="M9" s="155">
        <f t="shared" si="4"/>
        <v>10000</v>
      </c>
      <c r="N9" s="155">
        <f>SUM(B9:M9)</f>
        <v>120000</v>
      </c>
      <c r="O9" s="155">
        <f aca="true" t="shared" si="5" ref="O9:Z9">O3*O8</f>
        <v>13500</v>
      </c>
      <c r="P9" s="155">
        <f t="shared" si="5"/>
        <v>13500</v>
      </c>
      <c r="Q9" s="155">
        <f t="shared" si="5"/>
        <v>13500</v>
      </c>
      <c r="R9" s="155">
        <f t="shared" si="5"/>
        <v>13500</v>
      </c>
      <c r="S9" s="155">
        <f t="shared" si="5"/>
        <v>13500</v>
      </c>
      <c r="T9" s="155">
        <f t="shared" si="5"/>
        <v>13500</v>
      </c>
      <c r="U9" s="155">
        <f t="shared" si="5"/>
        <v>13500</v>
      </c>
      <c r="V9" s="155">
        <f t="shared" si="5"/>
        <v>13500</v>
      </c>
      <c r="W9" s="155">
        <f t="shared" si="5"/>
        <v>13500</v>
      </c>
      <c r="X9" s="155">
        <f t="shared" si="5"/>
        <v>13500</v>
      </c>
      <c r="Y9" s="155">
        <f t="shared" si="5"/>
        <v>13500</v>
      </c>
      <c r="Z9" s="155">
        <f t="shared" si="5"/>
        <v>13500</v>
      </c>
      <c r="AA9" s="155">
        <f>SUM(O9:Z9)</f>
        <v>162000</v>
      </c>
      <c r="AB9" s="155">
        <f>AB3*AB8</f>
        <v>178290</v>
      </c>
      <c r="AC9" s="155">
        <f>AC3*AC8</f>
        <v>207200</v>
      </c>
      <c r="AD9" s="155">
        <f>AD3*AD8</f>
        <v>259979.99999999997</v>
      </c>
      <c r="AE9" s="188"/>
      <c r="AF9" s="198"/>
      <c r="AG9" s="198"/>
      <c r="AH9" s="198"/>
      <c r="AI9" s="198"/>
      <c r="AJ9" s="198"/>
      <c r="AK9" s="198"/>
      <c r="AL9" s="199"/>
    </row>
    <row r="10" spans="1:38" ht="12.75">
      <c r="A10" s="145"/>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51"/>
      <c r="AG10" s="151"/>
      <c r="AH10" s="151"/>
      <c r="AI10" s="151"/>
      <c r="AJ10" s="151"/>
      <c r="AK10" s="151"/>
      <c r="AL10" s="145"/>
    </row>
    <row r="11" spans="1:38" ht="15">
      <c r="A11" s="146" t="s">
        <v>191</v>
      </c>
      <c r="B11" s="147">
        <f aca="true" t="shared" si="6" ref="B11:M11">B9</f>
        <v>10000</v>
      </c>
      <c r="C11" s="147">
        <f t="shared" si="6"/>
        <v>10000</v>
      </c>
      <c r="D11" s="147">
        <f t="shared" si="6"/>
        <v>10000</v>
      </c>
      <c r="E11" s="147">
        <f t="shared" si="6"/>
        <v>10000</v>
      </c>
      <c r="F11" s="147">
        <f t="shared" si="6"/>
        <v>10000</v>
      </c>
      <c r="G11" s="147">
        <f t="shared" si="6"/>
        <v>10000</v>
      </c>
      <c r="H11" s="147">
        <f t="shared" si="6"/>
        <v>10000</v>
      </c>
      <c r="I11" s="147">
        <f t="shared" si="6"/>
        <v>10000</v>
      </c>
      <c r="J11" s="147">
        <f t="shared" si="6"/>
        <v>10000</v>
      </c>
      <c r="K11" s="147">
        <f t="shared" si="6"/>
        <v>10000</v>
      </c>
      <c r="L11" s="147">
        <f t="shared" si="6"/>
        <v>10000</v>
      </c>
      <c r="M11" s="147">
        <f t="shared" si="6"/>
        <v>10000</v>
      </c>
      <c r="N11" s="147">
        <f>SUM(B11:M11)</f>
        <v>120000</v>
      </c>
      <c r="O11" s="147">
        <f aca="true" t="shared" si="7" ref="O11:Z11">O9</f>
        <v>13500</v>
      </c>
      <c r="P11" s="147">
        <f t="shared" si="7"/>
        <v>13500</v>
      </c>
      <c r="Q11" s="147">
        <f t="shared" si="7"/>
        <v>13500</v>
      </c>
      <c r="R11" s="147">
        <f t="shared" si="7"/>
        <v>13500</v>
      </c>
      <c r="S11" s="147">
        <f t="shared" si="7"/>
        <v>13500</v>
      </c>
      <c r="T11" s="147">
        <f t="shared" si="7"/>
        <v>13500</v>
      </c>
      <c r="U11" s="147">
        <f t="shared" si="7"/>
        <v>13500</v>
      </c>
      <c r="V11" s="147">
        <f t="shared" si="7"/>
        <v>13500</v>
      </c>
      <c r="W11" s="147">
        <f t="shared" si="7"/>
        <v>13500</v>
      </c>
      <c r="X11" s="147">
        <f t="shared" si="7"/>
        <v>13500</v>
      </c>
      <c r="Y11" s="147">
        <f t="shared" si="7"/>
        <v>13500</v>
      </c>
      <c r="Z11" s="147">
        <f t="shared" si="7"/>
        <v>13500</v>
      </c>
      <c r="AA11" s="147">
        <f>SUM(O11:Z11)</f>
        <v>162000</v>
      </c>
      <c r="AB11" s="147">
        <f>AB9</f>
        <v>178290</v>
      </c>
      <c r="AC11" s="147">
        <f>AC9</f>
        <v>207200</v>
      </c>
      <c r="AD11" s="147">
        <f>AD9</f>
        <v>259979.99999999997</v>
      </c>
      <c r="AE11" s="145"/>
      <c r="AF11" s="151"/>
      <c r="AG11" s="151"/>
      <c r="AH11" s="151"/>
      <c r="AI11" s="151"/>
      <c r="AJ11" s="151"/>
      <c r="AK11" s="151"/>
      <c r="AL11" s="145"/>
    </row>
    <row r="12" spans="1:38" ht="12.75" customHeight="1" hidden="1">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51"/>
      <c r="AG12" s="151"/>
      <c r="AH12" s="151"/>
      <c r="AI12" s="151"/>
      <c r="AJ12" s="151"/>
      <c r="AK12" s="151"/>
      <c r="AL12" s="145"/>
    </row>
    <row r="13" spans="1:38" s="4" customFormat="1" ht="11.25" hidden="1">
      <c r="A13" s="149" t="s">
        <v>93</v>
      </c>
      <c r="B13" s="150">
        <f>B3*SUMPRODUCT(B5:B7,AF5:AF7)</f>
        <v>3000</v>
      </c>
      <c r="C13" s="150">
        <f>C3*SUMPRODUCT(C5:C7,AF5:AF7)</f>
        <v>3000</v>
      </c>
      <c r="D13" s="150">
        <f>D3*SUMPRODUCT(D5:D7,AF5:AF7)</f>
        <v>3000</v>
      </c>
      <c r="E13" s="150">
        <f>E3*SUMPRODUCT(E5:E7,AF5:AF7)</f>
        <v>3000</v>
      </c>
      <c r="F13" s="150">
        <f>F3*SUMPRODUCT(F5:F7,AF5:AF7)</f>
        <v>3000</v>
      </c>
      <c r="G13" s="150">
        <f>G3*SUMPRODUCT(G5:G7,AF5:AF7)</f>
        <v>3000</v>
      </c>
      <c r="H13" s="150">
        <f>H3*SUMPRODUCT(H5:H7,AF5:AF7)</f>
        <v>3000</v>
      </c>
      <c r="I13" s="150">
        <f>I3*SUMPRODUCT(I5:I7,AF5:AF7)</f>
        <v>3000</v>
      </c>
      <c r="J13" s="150">
        <f>J3*SUMPRODUCT(J5:J7,AF5:AF7)</f>
        <v>3000</v>
      </c>
      <c r="K13" s="150">
        <f>K3*SUMPRODUCT(K5:K7,AF5:AF7)</f>
        <v>3000</v>
      </c>
      <c r="L13" s="150">
        <f>L3*SUMPRODUCT(L5:L7,AF5:AF7)</f>
        <v>3000</v>
      </c>
      <c r="M13" s="150">
        <f>M3*SUMPRODUCT(M5:M7,AF5:AF7)</f>
        <v>3000</v>
      </c>
      <c r="N13" s="150">
        <f>SUM(B13:M13)</f>
        <v>36000</v>
      </c>
      <c r="O13" s="150">
        <f>O3*SUMPRODUCT(O5:O7,AF5:AF7)</f>
        <v>3750</v>
      </c>
      <c r="P13" s="150">
        <f>P3*SUMPRODUCT(P5:P7,AF5:AF7)</f>
        <v>3750</v>
      </c>
      <c r="Q13" s="150">
        <f>Q3*SUMPRODUCT(Q5:Q7,AF5:AF7)</f>
        <v>3750</v>
      </c>
      <c r="R13" s="150">
        <f>R3*SUMPRODUCT(R5:R7,AF5:AF7)</f>
        <v>3750</v>
      </c>
      <c r="S13" s="150">
        <f>S3*SUMPRODUCT(S5:S7,AF5:AF7)</f>
        <v>3750</v>
      </c>
      <c r="T13" s="150">
        <f>T3*SUMPRODUCT(T5:T7,AF5:AF7)</f>
        <v>3750</v>
      </c>
      <c r="U13" s="150">
        <f>U3*SUMPRODUCT(U5:U7,AF5:AF7)</f>
        <v>3750</v>
      </c>
      <c r="V13" s="150">
        <f>V3*SUMPRODUCT(V5:V7,AF5:AF7)</f>
        <v>3750</v>
      </c>
      <c r="W13" s="150">
        <f>W3*SUMPRODUCT(W5:W7,AF5:AF7)</f>
        <v>3750</v>
      </c>
      <c r="X13" s="150">
        <f>X3*SUMPRODUCT(X5:X7,AF5:AF7)</f>
        <v>3750</v>
      </c>
      <c r="Y13" s="150">
        <f>Y3*SUMPRODUCT(Y5:Y7,AF5:AF7)</f>
        <v>3750</v>
      </c>
      <c r="Z13" s="150">
        <f>Z3*SUMPRODUCT(Z5:Z7,AF5:AF7)</f>
        <v>3750</v>
      </c>
      <c r="AA13" s="150">
        <f>SUM(O13:Z13)</f>
        <v>45000</v>
      </c>
      <c r="AB13" s="150">
        <f>AB3*SUMPRODUCT(AB5:AB7,AF5:AF7)</f>
        <v>49770</v>
      </c>
      <c r="AC13" s="150">
        <f>AC3*SUMPRODUCT(AC5:AC7,AF5:AF7)</f>
        <v>58100</v>
      </c>
      <c r="AD13" s="150">
        <f>AD3*SUMPRODUCT(AD5:AD7,AF5:AF7)</f>
        <v>73080</v>
      </c>
      <c r="AE13" s="149"/>
      <c r="AF13" s="156"/>
      <c r="AG13" s="156"/>
      <c r="AH13" s="157"/>
      <c r="AI13" s="151"/>
      <c r="AJ13" s="157"/>
      <c r="AK13" s="156"/>
      <c r="AL13" s="149"/>
    </row>
    <row r="14" spans="1:38" s="88" customFormat="1" ht="11.25" hidden="1">
      <c r="A14" s="158" t="s">
        <v>71</v>
      </c>
      <c r="B14" s="159">
        <f>IF(B13=0,0,(B3*SUMPRODUCT(B5:B7,AG5:AG7))/B13)</f>
        <v>0</v>
      </c>
      <c r="C14" s="159">
        <f>IF(C13=0,0,(C3*SUMPRODUCT(C5:C7,AG5:AG7))/C13)</f>
        <v>0</v>
      </c>
      <c r="D14" s="159">
        <f>IF(D13=0,0,(D3*SUMPRODUCT(D5:D7,AG5:AG7))/D13)</f>
        <v>0</v>
      </c>
      <c r="E14" s="159">
        <f>IF(E13=0,0,(E3*SUMPRODUCT(E5:E7,AG5:AG7))/E13)</f>
        <v>0</v>
      </c>
      <c r="F14" s="159">
        <f>IF(F13=0,0,(F3*SUMPRODUCT(F5:F7,AG5:AG7))/F13)</f>
        <v>0</v>
      </c>
      <c r="G14" s="159">
        <f>IF(G13=0,0,(G3*SUMPRODUCT(G5:G7,AG5:AG7))/G13)</f>
        <v>0</v>
      </c>
      <c r="H14" s="159">
        <f>IF(H13=0,0,(H3*SUMPRODUCT(H5:H7,AG5:AG7))/H13)</f>
        <v>0</v>
      </c>
      <c r="I14" s="159">
        <f>IF(I13=0,0,(I3*SUMPRODUCT(I5:I7,AG5:AG7))/I13)</f>
        <v>0</v>
      </c>
      <c r="J14" s="159">
        <f>IF(J13=0,0,(J3*SUMPRODUCT(J5:J7,AG5:AG7))/J13)</f>
        <v>0</v>
      </c>
      <c r="K14" s="159">
        <f>IF(K13=0,0,(K3*SUMPRODUCT(K5:K7,AG5:AG7))/K13)</f>
        <v>0</v>
      </c>
      <c r="L14" s="159">
        <f>IF(L13=0,0,(L3*SUMPRODUCT(L5:L7,AG5:AG7))/L13)</f>
        <v>0</v>
      </c>
      <c r="M14" s="159">
        <f>IF(M13=0,0,(M3*SUMPRODUCT(M5:M7,AG5:AG7))/M13)</f>
        <v>0</v>
      </c>
      <c r="N14" s="159"/>
      <c r="O14" s="159">
        <f>IF(O13=0,0,(O3*SUMPRODUCT(O5:O7,AG5:AG7))/O13)</f>
        <v>0</v>
      </c>
      <c r="P14" s="159">
        <f>IF(P13=0,0,(P3*SUMPRODUCT(P5:P7,AG5:AG7))/P13)</f>
        <v>0</v>
      </c>
      <c r="Q14" s="159">
        <f>IF(Q13=0,0,(Q3*SUMPRODUCT(Q5:Q7,AG5:AG7))/Q13)</f>
        <v>0</v>
      </c>
      <c r="R14" s="159">
        <f>IF(R13=0,0,(R3*SUMPRODUCT(R5:R7,AG5:AG7))/R13)</f>
        <v>0</v>
      </c>
      <c r="S14" s="159">
        <f>IF(S13=0,0,(S3*SUMPRODUCT(S5:S7,AG5:AG7))/S13)</f>
        <v>0</v>
      </c>
      <c r="T14" s="159">
        <f>IF(T13=0,0,(T3*SUMPRODUCT(T5:T7,AG5:AG7))/T13)</f>
        <v>0</v>
      </c>
      <c r="U14" s="159">
        <f>IF(U13=0,0,(U3*SUMPRODUCT(U5:U7,AG5:AG7))/U13)</f>
        <v>0</v>
      </c>
      <c r="V14" s="159">
        <f>IF(V13=0,0,(V3*SUMPRODUCT(V5:V7,AG5:AG7))/V13)</f>
        <v>0</v>
      </c>
      <c r="W14" s="159">
        <f>IF(W13=0,0,(W3*SUMPRODUCT(W5:W7,AG5:AG7))/W13)</f>
        <v>0</v>
      </c>
      <c r="X14" s="159">
        <f>IF(X13=0,0,(X3*SUMPRODUCT(X5:X7,AG5:AG7))/X13)</f>
        <v>0</v>
      </c>
      <c r="Y14" s="159">
        <f>IF(Y13=0,0,(Y3*SUMPRODUCT(Y5:Y7,AG5:AG7))/Y13)</f>
        <v>0</v>
      </c>
      <c r="Z14" s="159">
        <f>IF(Z13=0,0,(Z3*SUMPRODUCT(Z5:Z7,AG5:AG7))/Z13)</f>
        <v>0</v>
      </c>
      <c r="AA14" s="159"/>
      <c r="AB14" s="159">
        <f>IF(AB13=0,0,(AB3*SUMPRODUCT(AB5:AB7,AG5:AG7))/AB13)</f>
        <v>0</v>
      </c>
      <c r="AC14" s="159">
        <f>IF(AC13=0,0,(AC3*SUMPRODUCT(AC5:AC7,AG5:AG7))/AC13)</f>
        <v>0</v>
      </c>
      <c r="AD14" s="159">
        <f>IF(AD13=0,0,(AD3*SUMPRODUCT(AD5:AD7,AG5:AG7))/AD13)</f>
        <v>0</v>
      </c>
      <c r="AE14" s="158"/>
      <c r="AF14" s="156"/>
      <c r="AG14" s="156"/>
      <c r="AH14" s="157"/>
      <c r="AI14" s="151"/>
      <c r="AJ14" s="157"/>
      <c r="AK14" s="156"/>
      <c r="AL14" s="158"/>
    </row>
    <row r="15" spans="1:38" s="4" customFormat="1" ht="11.25" hidden="1">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49"/>
      <c r="AF15" s="156"/>
      <c r="AG15" s="156"/>
      <c r="AH15" s="157"/>
      <c r="AI15" s="151"/>
      <c r="AJ15" s="157"/>
      <c r="AK15" s="156"/>
      <c r="AL15" s="149"/>
    </row>
    <row r="16" spans="1:38" s="4" customFormat="1" ht="11.25" hidden="1">
      <c r="A16" s="149" t="s">
        <v>210</v>
      </c>
      <c r="B16" s="150">
        <f>B3*SUMPRODUCT(B5:B7,AH5:AH7)</f>
        <v>0</v>
      </c>
      <c r="C16" s="150">
        <f>C3*SUMPRODUCT(C5:C7,AH5:AH7)</f>
        <v>0</v>
      </c>
      <c r="D16" s="150">
        <f>D3*SUMPRODUCT(D5:D7,AH5:AH7)</f>
        <v>0</v>
      </c>
      <c r="E16" s="150">
        <f>E3*SUMPRODUCT(E5:E7,AH5:AH7)</f>
        <v>0</v>
      </c>
      <c r="F16" s="150">
        <f>F3*SUMPRODUCT(F5:F7,AH5:AH7)</f>
        <v>0</v>
      </c>
      <c r="G16" s="150">
        <f>G3*SUMPRODUCT(G5:G7,AH5:AH7)</f>
        <v>0</v>
      </c>
      <c r="H16" s="150">
        <f>H3*SUMPRODUCT(H5:H7,AH5:AH7)</f>
        <v>0</v>
      </c>
      <c r="I16" s="150">
        <f>I3*SUMPRODUCT(I5:I7,AH5:AH7)</f>
        <v>0</v>
      </c>
      <c r="J16" s="150">
        <f>J3*SUMPRODUCT(J5:J7,AH5:AH7)</f>
        <v>0</v>
      </c>
      <c r="K16" s="150">
        <f>K3*SUMPRODUCT(K5:K7,AH5:AH7)</f>
        <v>0</v>
      </c>
      <c r="L16" s="150">
        <f>L3*SUMPRODUCT(L5:L7,AH5:AH7)</f>
        <v>0</v>
      </c>
      <c r="M16" s="150">
        <f>M3*SUMPRODUCT(M5:M7,AH5:AH7)</f>
        <v>0</v>
      </c>
      <c r="N16" s="150"/>
      <c r="O16" s="150">
        <f>O3*SUMPRODUCT(O5:O7,AH5:AH7)</f>
        <v>0</v>
      </c>
      <c r="P16" s="150">
        <f>P3*SUMPRODUCT(P5:P7,AH5:AH7)</f>
        <v>0</v>
      </c>
      <c r="Q16" s="150">
        <f>Q3*SUMPRODUCT(Q5:Q7,AH5:AH7)</f>
        <v>0</v>
      </c>
      <c r="R16" s="150">
        <f>R3*SUMPRODUCT(R5:R7,AH5:AH7)</f>
        <v>0</v>
      </c>
      <c r="S16" s="150">
        <f>S3*SUMPRODUCT(S5:S7,AH5:AH7)</f>
        <v>0</v>
      </c>
      <c r="T16" s="150">
        <f>T3*SUMPRODUCT(T5:T7,AH5:AH7)</f>
        <v>0</v>
      </c>
      <c r="U16" s="150">
        <f>U3*SUMPRODUCT(U5:U7,AH5:AH7)</f>
        <v>0</v>
      </c>
      <c r="V16" s="150">
        <f>V3*SUMPRODUCT(V5:V7,AH5:AH7)</f>
        <v>0</v>
      </c>
      <c r="W16" s="150">
        <f>W3*SUMPRODUCT(W5:W7,AH5:AH7)</f>
        <v>0</v>
      </c>
      <c r="X16" s="150">
        <f>X3*SUMPRODUCT(X5:X7,AH5:AH7)</f>
        <v>0</v>
      </c>
      <c r="Y16" s="150">
        <f>Y3*SUMPRODUCT(Y5:Y7,AH5:AH7)</f>
        <v>0</v>
      </c>
      <c r="Z16" s="150">
        <f>Z3*SUMPRODUCT(Z5:Z7,AH5:AH7)</f>
        <v>0</v>
      </c>
      <c r="AA16" s="150"/>
      <c r="AB16" s="150">
        <f>AB3*SUMPRODUCT(AB5:AB7,AH5:AH7)</f>
        <v>0</v>
      </c>
      <c r="AC16" s="150">
        <f>AC3*SUMPRODUCT(AC5:AC7,AH5:AH7)</f>
        <v>0</v>
      </c>
      <c r="AD16" s="150">
        <f>AD3*SUMPRODUCT(AD5:AD7,AH5:AH7)</f>
        <v>0</v>
      </c>
      <c r="AE16" s="149"/>
      <c r="AF16" s="156"/>
      <c r="AG16" s="156"/>
      <c r="AH16" s="157"/>
      <c r="AI16" s="151"/>
      <c r="AJ16" s="157"/>
      <c r="AK16" s="156"/>
      <c r="AL16" s="149"/>
    </row>
    <row r="17" spans="1:38" s="4" customFormat="1" ht="11.25" hidden="1">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51"/>
      <c r="AG17" s="151"/>
      <c r="AH17" s="156"/>
      <c r="AI17" s="151"/>
      <c r="AJ17" s="151"/>
      <c r="AK17" s="151"/>
      <c r="AL17" s="149"/>
    </row>
    <row r="18" spans="1:38" s="4" customFormat="1" ht="11.25" hidden="1">
      <c r="A18" s="149" t="s">
        <v>38</v>
      </c>
      <c r="B18" s="150">
        <f aca="true" t="shared" si="8" ref="B18:M18">B11-B19</f>
        <v>10000</v>
      </c>
      <c r="C18" s="150">
        <f t="shared" si="8"/>
        <v>10000</v>
      </c>
      <c r="D18" s="150">
        <f t="shared" si="8"/>
        <v>10000</v>
      </c>
      <c r="E18" s="150">
        <f t="shared" si="8"/>
        <v>10000</v>
      </c>
      <c r="F18" s="150">
        <f t="shared" si="8"/>
        <v>10000</v>
      </c>
      <c r="G18" s="150">
        <f t="shared" si="8"/>
        <v>10000</v>
      </c>
      <c r="H18" s="150">
        <f t="shared" si="8"/>
        <v>10000</v>
      </c>
      <c r="I18" s="150">
        <f t="shared" si="8"/>
        <v>10000</v>
      </c>
      <c r="J18" s="150">
        <f t="shared" si="8"/>
        <v>10000</v>
      </c>
      <c r="K18" s="150">
        <f t="shared" si="8"/>
        <v>10000</v>
      </c>
      <c r="L18" s="150">
        <f t="shared" si="8"/>
        <v>10000</v>
      </c>
      <c r="M18" s="150">
        <f t="shared" si="8"/>
        <v>10000</v>
      </c>
      <c r="N18" s="150">
        <f>SUM(B18:M18)</f>
        <v>120000</v>
      </c>
      <c r="O18" s="150">
        <f aca="true" t="shared" si="9" ref="O18:Z18">O11-O19</f>
        <v>13500</v>
      </c>
      <c r="P18" s="150">
        <f t="shared" si="9"/>
        <v>13500</v>
      </c>
      <c r="Q18" s="150">
        <f t="shared" si="9"/>
        <v>13500</v>
      </c>
      <c r="R18" s="150">
        <f t="shared" si="9"/>
        <v>13500</v>
      </c>
      <c r="S18" s="150">
        <f t="shared" si="9"/>
        <v>13500</v>
      </c>
      <c r="T18" s="150">
        <f t="shared" si="9"/>
        <v>13500</v>
      </c>
      <c r="U18" s="150">
        <f t="shared" si="9"/>
        <v>13500</v>
      </c>
      <c r="V18" s="150">
        <f t="shared" si="9"/>
        <v>13500</v>
      </c>
      <c r="W18" s="150">
        <f t="shared" si="9"/>
        <v>13500</v>
      </c>
      <c r="X18" s="150">
        <f t="shared" si="9"/>
        <v>13500</v>
      </c>
      <c r="Y18" s="150">
        <f t="shared" si="9"/>
        <v>13500</v>
      </c>
      <c r="Z18" s="150">
        <f t="shared" si="9"/>
        <v>13500</v>
      </c>
      <c r="AA18" s="150">
        <f>SUM(O18:Z18)</f>
        <v>162000</v>
      </c>
      <c r="AB18" s="150">
        <f>AB11-AB19</f>
        <v>178290</v>
      </c>
      <c r="AC18" s="150">
        <f>AC11-AC19</f>
        <v>207200</v>
      </c>
      <c r="AD18" s="150">
        <f>AD11-AD19</f>
        <v>259979.99999999997</v>
      </c>
      <c r="AE18" s="149"/>
      <c r="AF18" s="151"/>
      <c r="AG18" s="151"/>
      <c r="AH18" s="157"/>
      <c r="AI18" s="151"/>
      <c r="AJ18" s="151"/>
      <c r="AK18" s="151"/>
      <c r="AL18" s="149"/>
    </row>
    <row r="19" spans="1:38" s="4" customFormat="1" ht="11.25" hidden="1">
      <c r="A19" s="149" t="s">
        <v>16</v>
      </c>
      <c r="B19" s="150">
        <f>B3*SUMPRODUCT(B5:B7,AJ5:AJ7)</f>
        <v>0</v>
      </c>
      <c r="C19" s="150">
        <f>C3*SUMPRODUCT(C5:C7,AJ5:AJ7)</f>
        <v>0</v>
      </c>
      <c r="D19" s="150">
        <f>D3*SUMPRODUCT(D5:D7,AJ5:AJ7)</f>
        <v>0</v>
      </c>
      <c r="E19" s="150">
        <f>E3*SUMPRODUCT(E5:E7,AJ5:AJ7)</f>
        <v>0</v>
      </c>
      <c r="F19" s="150">
        <f>F3*SUMPRODUCT(F5:F7,AJ5:AJ7)</f>
        <v>0</v>
      </c>
      <c r="G19" s="150">
        <f>G3*SUMPRODUCT(G5:G7,AJ5:AJ7)</f>
        <v>0</v>
      </c>
      <c r="H19" s="150">
        <f>H3*SUMPRODUCT(H5:H7,AJ5:AJ7)</f>
        <v>0</v>
      </c>
      <c r="I19" s="150">
        <f>I3*SUMPRODUCT(I5:I7,AJ5:AJ7)</f>
        <v>0</v>
      </c>
      <c r="J19" s="150">
        <f>J3*SUMPRODUCT(J5:J7,AJ5:AJ7)</f>
        <v>0</v>
      </c>
      <c r="K19" s="150">
        <f>K3*SUMPRODUCT(K5:K7,AJ5:AJ7)</f>
        <v>0</v>
      </c>
      <c r="L19" s="150">
        <f>L3*SUMPRODUCT(L5:L7,AJ5:AJ7)</f>
        <v>0</v>
      </c>
      <c r="M19" s="150">
        <f>M3*SUMPRODUCT(M5:M7,AJ5:AJ7)</f>
        <v>0</v>
      </c>
      <c r="N19" s="150">
        <f>SUM(B19:M19)</f>
        <v>0</v>
      </c>
      <c r="O19" s="150">
        <f>O3*SUMPRODUCT(O5:O7,AJ5:AJ7)</f>
        <v>0</v>
      </c>
      <c r="P19" s="150">
        <f>P3*SUMPRODUCT(P5:P7,AJ5:AJ7)</f>
        <v>0</v>
      </c>
      <c r="Q19" s="150">
        <f>Q3*SUMPRODUCT(Q5:Q7,AJ5:AJ7)</f>
        <v>0</v>
      </c>
      <c r="R19" s="150">
        <f>R3*SUMPRODUCT(R5:R7,AJ5:AJ7)</f>
        <v>0</v>
      </c>
      <c r="S19" s="150">
        <f>S3*SUMPRODUCT(S5:S7,AJ5:AJ7)</f>
        <v>0</v>
      </c>
      <c r="T19" s="150">
        <f>T3*SUMPRODUCT(T5:T7,AJ5:AJ7)</f>
        <v>0</v>
      </c>
      <c r="U19" s="150">
        <f>U3*SUMPRODUCT(U5:U7,AJ5:AJ7)</f>
        <v>0</v>
      </c>
      <c r="V19" s="150">
        <f>V3*SUMPRODUCT(V5:V7,AJ5:AJ7)</f>
        <v>0</v>
      </c>
      <c r="W19" s="150">
        <f>W3*SUMPRODUCT(W5:W7,AJ5:AJ7)</f>
        <v>0</v>
      </c>
      <c r="X19" s="150">
        <f>X3*SUMPRODUCT(X5:X7,AJ5:AJ7)</f>
        <v>0</v>
      </c>
      <c r="Y19" s="150">
        <f>Y3*SUMPRODUCT(Y5:Y7,AJ5:AJ7)</f>
        <v>0</v>
      </c>
      <c r="Z19" s="150">
        <f>Z3*SUMPRODUCT(Z5:Z7,AJ5:AJ7)</f>
        <v>0</v>
      </c>
      <c r="AA19" s="150">
        <f>SUM(O19:Z19)</f>
        <v>0</v>
      </c>
      <c r="AB19" s="150">
        <f>AB3*SUMPRODUCT(AB5:AB7,AJ5:AJ7)</f>
        <v>0</v>
      </c>
      <c r="AC19" s="150">
        <f>AC3*SUMPRODUCT(AC5:AC7,AJ5:AJ7)</f>
        <v>0</v>
      </c>
      <c r="AD19" s="150">
        <f>AD3*SUMPRODUCT(AD5:AD7,AJ5:AJ7)</f>
        <v>0</v>
      </c>
      <c r="AE19" s="149"/>
      <c r="AF19" s="151"/>
      <c r="AG19" s="151"/>
      <c r="AH19" s="156"/>
      <c r="AI19" s="151"/>
      <c r="AJ19" s="151"/>
      <c r="AK19" s="151"/>
      <c r="AL19" s="149"/>
    </row>
    <row r="20" spans="1:38" s="129" customFormat="1" ht="11.25" hidden="1">
      <c r="A20" s="160" t="s">
        <v>90</v>
      </c>
      <c r="B20" s="159">
        <f>IF(B19=0,0,(B3*SUMPRODUCT(B5:B7,AJ5:AJ7,AK5:AK7))/B19)</f>
        <v>0</v>
      </c>
      <c r="C20" s="159">
        <f>IF(C19=0,0,(C3*SUMPRODUCT(C5:C7,AJ5:AJ7,AK5:AK7))/C19)</f>
        <v>0</v>
      </c>
      <c r="D20" s="159">
        <f>IF(D19=0,0,(D3*SUMPRODUCT(D5:D7,AJ5:AJ7,AK5:AK7))/D19)</f>
        <v>0</v>
      </c>
      <c r="E20" s="159">
        <f>IF(E19=0,0,(E3*SUMPRODUCT(E5:E7,AJ5:AJ7,AK5:AK7))/E19)</f>
        <v>0</v>
      </c>
      <c r="F20" s="159">
        <f>IF(F19=0,0,(F3*SUMPRODUCT(F5:F7,AJ5:AJ7,AK5:AK7))/F19)</f>
        <v>0</v>
      </c>
      <c r="G20" s="159">
        <f>IF(G19=0,0,(G3*SUMPRODUCT(G5:G7,AJ5:AJ7,AK5:AK7))/G19)</f>
        <v>0</v>
      </c>
      <c r="H20" s="159">
        <f>IF(H19=0,0,(H3*SUMPRODUCT(H5:H7,AJ5:AJ7,AK5:AK7))/H19)</f>
        <v>0</v>
      </c>
      <c r="I20" s="159">
        <f>IF(I19=0,0,(I3*SUMPRODUCT(I5:I7,AJ5:AJ7,AK5:AK7))/I19)</f>
        <v>0</v>
      </c>
      <c r="J20" s="159">
        <f>IF(J19=0,0,(J3*SUMPRODUCT(J5:J7,AJ5:AJ7,AK5:AK7))/J19)</f>
        <v>0</v>
      </c>
      <c r="K20" s="159">
        <f>IF(K19=0,0,(K3*SUMPRODUCT(K5:K7,AJ5:AJ7,AK5:AK7))/K19)</f>
        <v>0</v>
      </c>
      <c r="L20" s="159">
        <f>IF(L19=0,0,(L3*SUMPRODUCT(L5:L7,AJ5:AJ7,AK5:AK7))/L19)</f>
        <v>0</v>
      </c>
      <c r="M20" s="159">
        <f>IF(M19=0,0,(M3*SUMPRODUCT(M5:M7,AJ5:AJ7,AK5:AK7))/M19)</f>
        <v>0</v>
      </c>
      <c r="N20" s="159"/>
      <c r="O20" s="159">
        <f>IF(O19=0,0,(O3*SUMPRODUCT(O5:O7,AJ5:AJ7,AK5:AK7))/O19)</f>
        <v>0</v>
      </c>
      <c r="P20" s="159">
        <f>IF(P19=0,0,(P3*SUMPRODUCT(P5:P7,AJ5:AJ7,AK5:AK7))/P19)</f>
        <v>0</v>
      </c>
      <c r="Q20" s="159">
        <f>IF(Q19=0,0,(Q3*SUMPRODUCT(Q5:Q7,AJ5:AJ7,AK5:AK7))/Q19)</f>
        <v>0</v>
      </c>
      <c r="R20" s="159">
        <f>IF(R19=0,0,(R3*SUMPRODUCT(R5:R7,AJ5:AJ7,AK5:AK7))/R19)</f>
        <v>0</v>
      </c>
      <c r="S20" s="159">
        <f>IF(S19=0,0,(S3*SUMPRODUCT(S5:S7,AJ5:AJ7,AK5:AK7))/S19)</f>
        <v>0</v>
      </c>
      <c r="T20" s="159">
        <f>IF(T19=0,0,(T3*SUMPRODUCT(T5:T7,AJ5:AJ7,AK5:AK7))/T19)</f>
        <v>0</v>
      </c>
      <c r="U20" s="159">
        <f>IF(U19=0,0,(U3*SUMPRODUCT(U5:U7,AJ5:AJ7,AK5:AK7))/U19)</f>
        <v>0</v>
      </c>
      <c r="V20" s="159">
        <f>IF(V19=0,0,(V3*SUMPRODUCT(V5:V7,AJ5:AJ7,AK5:AK7))/V19)</f>
        <v>0</v>
      </c>
      <c r="W20" s="159">
        <f>IF(W19=0,0,(W3*SUMPRODUCT(W5:W7,AJ5:AJ7,AK5:AK7))/W19)</f>
        <v>0</v>
      </c>
      <c r="X20" s="159">
        <f>IF(X19=0,0,(X3*SUMPRODUCT(X5:X7,AJ5:AJ7,AK5:AK7))/X19)</f>
        <v>0</v>
      </c>
      <c r="Y20" s="159">
        <f>IF(Y19=0,0,(Y3*SUMPRODUCT(Y5:Y7,AJ5:AJ7,AK5:AK7))/Y19)</f>
        <v>0</v>
      </c>
      <c r="Z20" s="159">
        <f>IF(Z19=0,0,(Z3*SUMPRODUCT(Z5:Z7,AJ5:AJ7,AK5:AK7))/Z19)</f>
        <v>0</v>
      </c>
      <c r="AA20" s="159"/>
      <c r="AB20" s="159">
        <f>IF(AB19=0,0,(AB3*SUMPRODUCT(AB5:AB7,AJ5:AJ7,AK5:AK7))/AB19)</f>
        <v>0</v>
      </c>
      <c r="AC20" s="159">
        <f>IF(AC19=0,0,(AC3*SUMPRODUCT(AC5:AC7,AJ5:AJ7,AK5:AK7))/AC19)</f>
        <v>0</v>
      </c>
      <c r="AD20" s="159">
        <f>IF(AD19=0,0,(AD3*SUMPRODUCT(AD5:AD7,AJ5:AJ7,AK5:AK7))/AD19)</f>
        <v>0</v>
      </c>
      <c r="AE20" s="160"/>
      <c r="AF20" s="151"/>
      <c r="AG20" s="151"/>
      <c r="AH20" s="156"/>
      <c r="AI20" s="151"/>
      <c r="AJ20" s="151"/>
      <c r="AK20" s="151"/>
      <c r="AL20" s="160"/>
    </row>
    <row r="21" spans="1:38" ht="12.75" customHeight="1" hidden="1">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51"/>
      <c r="AG21" s="151"/>
      <c r="AH21" s="156"/>
      <c r="AI21" s="151"/>
      <c r="AJ21" s="151"/>
      <c r="AK21" s="151"/>
      <c r="AL21" s="145"/>
    </row>
    <row r="22" spans="1:38" ht="12.75">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56"/>
      <c r="AG22" s="156"/>
      <c r="AH22" s="157"/>
      <c r="AI22" s="151"/>
      <c r="AJ22" s="157"/>
      <c r="AK22" s="156"/>
      <c r="AL22" s="145"/>
    </row>
    <row r="23" spans="1:38" ht="12.7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56"/>
      <c r="AG23" s="156"/>
      <c r="AH23" s="157"/>
      <c r="AI23" s="151"/>
      <c r="AJ23" s="157"/>
      <c r="AK23" s="156"/>
      <c r="AL23" s="145"/>
    </row>
    <row r="24" spans="1:38" ht="12.75">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56"/>
      <c r="AG24" s="156"/>
      <c r="AH24" s="157"/>
      <c r="AI24" s="151"/>
      <c r="AJ24" s="157"/>
      <c r="AK24" s="156"/>
      <c r="AL24" s="145"/>
    </row>
    <row r="25" spans="1:38" ht="12.75">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56"/>
      <c r="AG25" s="156"/>
      <c r="AH25" s="157"/>
      <c r="AI25" s="151"/>
      <c r="AJ25" s="157"/>
      <c r="AK25" s="156"/>
      <c r="AL25" s="145"/>
    </row>
    <row r="26" spans="1:38" ht="12.75">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51"/>
      <c r="AG26" s="151"/>
      <c r="AH26" s="151"/>
      <c r="AI26" s="151"/>
      <c r="AJ26" s="151"/>
      <c r="AK26" s="151"/>
      <c r="AL26" s="145"/>
    </row>
    <row r="27" spans="1:38" ht="12.75">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51"/>
      <c r="AG27" s="151"/>
      <c r="AH27" s="153"/>
      <c r="AI27" s="151"/>
      <c r="AJ27" s="151"/>
      <c r="AK27" s="151"/>
      <c r="AL27" s="145"/>
    </row>
    <row r="28" spans="1:38" ht="12.75">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61"/>
      <c r="AG28" s="161"/>
      <c r="AH28" s="161"/>
      <c r="AI28" s="161"/>
      <c r="AJ28" s="161"/>
      <c r="AK28" s="161"/>
      <c r="AL28" s="145"/>
    </row>
    <row r="29" spans="1:38" ht="12.75">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51"/>
      <c r="AG29" s="151"/>
      <c r="AH29" s="151"/>
      <c r="AI29" s="151"/>
      <c r="AJ29" s="151"/>
      <c r="AK29" s="151"/>
      <c r="AL29" s="145"/>
    </row>
    <row r="30" spans="1:38" ht="12.75">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51"/>
      <c r="AG30" s="151"/>
      <c r="AH30" s="151"/>
      <c r="AI30" s="151"/>
      <c r="AJ30" s="151"/>
      <c r="AK30" s="151"/>
      <c r="AL30" s="145"/>
    </row>
    <row r="31" spans="1:38" ht="12.75">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51"/>
      <c r="AG31" s="151"/>
      <c r="AH31" s="151"/>
      <c r="AI31" s="151"/>
      <c r="AJ31" s="151"/>
      <c r="AK31" s="151"/>
      <c r="AL31" s="145"/>
    </row>
    <row r="32" spans="32:37" ht="12.75">
      <c r="AF32" s="55"/>
      <c r="AG32" s="55"/>
      <c r="AH32" s="55"/>
      <c r="AI32" s="55"/>
      <c r="AJ32" s="55"/>
      <c r="AK32" s="55"/>
    </row>
  </sheetData>
  <sheetProtection/>
  <printOptions/>
  <pageMargins left="0.7" right="0.7" top="0.75" bottom="0.75" header="0.3" footer="0.3"/>
  <pageSetup horizontalDpi="600" verticalDpi="600"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J28"/>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N29" sqref="N29"/>
    </sheetView>
  </sheetViews>
  <sheetFormatPr defaultColWidth="11.710937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1" width="11.7109375" style="0" customWidth="1"/>
    <col min="32" max="35" width="11.7109375" style="101" hidden="1" customWidth="1"/>
    <col min="36" max="37" width="11.7109375" style="0" customWidth="1"/>
  </cols>
  <sheetData>
    <row r="1" spans="1:36" ht="15.75" customHeight="1">
      <c r="A1" s="141" t="str">
        <f>"GASTOS FIJOS ("&amp;Introducción!E17&amp;")"</f>
        <v>GASTOS FIJOS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88"/>
      <c r="AF1" s="145" t="s">
        <v>149</v>
      </c>
      <c r="AG1" s="145"/>
      <c r="AH1" s="145" t="s">
        <v>180</v>
      </c>
      <c r="AI1" s="145" t="s">
        <v>204</v>
      </c>
      <c r="AJ1" s="145"/>
    </row>
    <row r="2" spans="1:36" ht="15">
      <c r="A2" s="199"/>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51"/>
      <c r="AG2" s="151"/>
      <c r="AH2" s="151"/>
      <c r="AI2" s="151"/>
      <c r="AJ2" s="145"/>
    </row>
    <row r="3" spans="1:36" ht="15">
      <c r="A3" s="298" t="s">
        <v>127</v>
      </c>
      <c r="B3" s="213">
        <v>500</v>
      </c>
      <c r="C3" s="213">
        <v>500</v>
      </c>
      <c r="D3" s="213">
        <v>500</v>
      </c>
      <c r="E3" s="213">
        <v>500</v>
      </c>
      <c r="F3" s="213">
        <v>500</v>
      </c>
      <c r="G3" s="213">
        <v>500</v>
      </c>
      <c r="H3" s="213">
        <v>500</v>
      </c>
      <c r="I3" s="213">
        <v>500</v>
      </c>
      <c r="J3" s="213">
        <v>500</v>
      </c>
      <c r="K3" s="213">
        <v>500</v>
      </c>
      <c r="L3" s="213">
        <v>500</v>
      </c>
      <c r="M3" s="213">
        <v>500</v>
      </c>
      <c r="N3" s="214">
        <f>SUM(B3:M3)</f>
        <v>6000</v>
      </c>
      <c r="O3" s="213">
        <v>550</v>
      </c>
      <c r="P3" s="213">
        <v>550</v>
      </c>
      <c r="Q3" s="213">
        <v>550</v>
      </c>
      <c r="R3" s="213">
        <v>550</v>
      </c>
      <c r="S3" s="213">
        <v>550</v>
      </c>
      <c r="T3" s="213">
        <v>550</v>
      </c>
      <c r="U3" s="213">
        <v>550</v>
      </c>
      <c r="V3" s="213">
        <v>550</v>
      </c>
      <c r="W3" s="213">
        <v>550</v>
      </c>
      <c r="X3" s="213">
        <v>550</v>
      </c>
      <c r="Y3" s="213">
        <v>550</v>
      </c>
      <c r="Z3" s="213">
        <v>550</v>
      </c>
      <c r="AA3" s="214">
        <f>SUM(O3:Z3)</f>
        <v>6600</v>
      </c>
      <c r="AB3" s="213">
        <v>6930</v>
      </c>
      <c r="AC3" s="213">
        <v>7277</v>
      </c>
      <c r="AD3" s="213">
        <v>7641</v>
      </c>
      <c r="AE3" s="188"/>
      <c r="AF3" s="152">
        <v>0</v>
      </c>
      <c r="AG3" s="151"/>
      <c r="AH3" s="153">
        <v>0</v>
      </c>
      <c r="AI3" s="151">
        <v>0</v>
      </c>
      <c r="AJ3" s="145"/>
    </row>
    <row r="4" spans="1:36" ht="15">
      <c r="A4" s="298" t="s">
        <v>150</v>
      </c>
      <c r="B4" s="213">
        <v>150</v>
      </c>
      <c r="C4" s="213">
        <v>150</v>
      </c>
      <c r="D4" s="213">
        <v>150</v>
      </c>
      <c r="E4" s="213">
        <v>150</v>
      </c>
      <c r="F4" s="213">
        <v>150</v>
      </c>
      <c r="G4" s="213">
        <v>150</v>
      </c>
      <c r="H4" s="213">
        <v>150</v>
      </c>
      <c r="I4" s="213">
        <v>150</v>
      </c>
      <c r="J4" s="213">
        <v>150</v>
      </c>
      <c r="K4" s="213">
        <v>150</v>
      </c>
      <c r="L4" s="213">
        <v>150</v>
      </c>
      <c r="M4" s="213">
        <v>150</v>
      </c>
      <c r="N4" s="214">
        <f>SUM(B4:M4)</f>
        <v>1800</v>
      </c>
      <c r="O4" s="213">
        <v>150</v>
      </c>
      <c r="P4" s="213">
        <v>150</v>
      </c>
      <c r="Q4" s="213">
        <v>150</v>
      </c>
      <c r="R4" s="213">
        <v>150</v>
      </c>
      <c r="S4" s="213">
        <v>150</v>
      </c>
      <c r="T4" s="213">
        <v>150</v>
      </c>
      <c r="U4" s="213">
        <v>150</v>
      </c>
      <c r="V4" s="213">
        <v>150</v>
      </c>
      <c r="W4" s="213">
        <v>150</v>
      </c>
      <c r="X4" s="213">
        <v>150</v>
      </c>
      <c r="Y4" s="213">
        <v>150</v>
      </c>
      <c r="Z4" s="213">
        <v>150</v>
      </c>
      <c r="AA4" s="214">
        <f>SUM(O4:Z4)</f>
        <v>1800</v>
      </c>
      <c r="AB4" s="213">
        <v>1980</v>
      </c>
      <c r="AC4" s="213">
        <v>2178</v>
      </c>
      <c r="AD4" s="213">
        <v>2396</v>
      </c>
      <c r="AE4" s="188"/>
      <c r="AF4" s="152">
        <v>0</v>
      </c>
      <c r="AG4" s="151"/>
      <c r="AH4" s="153">
        <v>0</v>
      </c>
      <c r="AI4" s="151">
        <v>0</v>
      </c>
      <c r="AJ4" s="145"/>
    </row>
    <row r="5" spans="1:36" ht="15">
      <c r="A5" s="154" t="s">
        <v>10</v>
      </c>
      <c r="B5" s="155">
        <f>SUM(B3:B4)</f>
        <v>650</v>
      </c>
      <c r="C5" s="155">
        <f aca="true" t="shared" si="2" ref="C5:M5">SUM(C3:C4)</f>
        <v>650</v>
      </c>
      <c r="D5" s="155">
        <f t="shared" si="2"/>
        <v>650</v>
      </c>
      <c r="E5" s="155">
        <f t="shared" si="2"/>
        <v>650</v>
      </c>
      <c r="F5" s="155">
        <f t="shared" si="2"/>
        <v>650</v>
      </c>
      <c r="G5" s="155">
        <f t="shared" si="2"/>
        <v>650</v>
      </c>
      <c r="H5" s="155">
        <f t="shared" si="2"/>
        <v>650</v>
      </c>
      <c r="I5" s="155">
        <f t="shared" si="2"/>
        <v>650</v>
      </c>
      <c r="J5" s="155">
        <f t="shared" si="2"/>
        <v>650</v>
      </c>
      <c r="K5" s="155">
        <f t="shared" si="2"/>
        <v>650</v>
      </c>
      <c r="L5" s="155">
        <f t="shared" si="2"/>
        <v>650</v>
      </c>
      <c r="M5" s="155">
        <f t="shared" si="2"/>
        <v>650</v>
      </c>
      <c r="N5" s="155">
        <f>SUM(B5:M5)</f>
        <v>7800</v>
      </c>
      <c r="O5" s="155">
        <f aca="true" t="shared" si="3" ref="O5:Z5">SUM(O3:O4)</f>
        <v>700</v>
      </c>
      <c r="P5" s="155">
        <f t="shared" si="3"/>
        <v>700</v>
      </c>
      <c r="Q5" s="155">
        <f t="shared" si="3"/>
        <v>700</v>
      </c>
      <c r="R5" s="155">
        <f t="shared" si="3"/>
        <v>700</v>
      </c>
      <c r="S5" s="155">
        <f t="shared" si="3"/>
        <v>700</v>
      </c>
      <c r="T5" s="155">
        <f t="shared" si="3"/>
        <v>700</v>
      </c>
      <c r="U5" s="155">
        <f t="shared" si="3"/>
        <v>700</v>
      </c>
      <c r="V5" s="155">
        <f t="shared" si="3"/>
        <v>700</v>
      </c>
      <c r="W5" s="155">
        <f t="shared" si="3"/>
        <v>700</v>
      </c>
      <c r="X5" s="155">
        <f t="shared" si="3"/>
        <v>700</v>
      </c>
      <c r="Y5" s="155">
        <f t="shared" si="3"/>
        <v>700</v>
      </c>
      <c r="Z5" s="155">
        <f t="shared" si="3"/>
        <v>700</v>
      </c>
      <c r="AA5" s="155">
        <f>SUM(O5:Z5)</f>
        <v>8400</v>
      </c>
      <c r="AB5" s="155">
        <f>SUM(AB3:AB4)</f>
        <v>8910</v>
      </c>
      <c r="AC5" s="155">
        <f>SUM(AC3:AC4)</f>
        <v>9455</v>
      </c>
      <c r="AD5" s="155">
        <f>SUM(AD3:AD4)</f>
        <v>10037</v>
      </c>
      <c r="AE5" s="188"/>
      <c r="AF5" s="151"/>
      <c r="AG5" s="151"/>
      <c r="AH5" s="151"/>
      <c r="AI5" s="151"/>
      <c r="AJ5" s="145"/>
    </row>
    <row r="6" spans="1:36" ht="15">
      <c r="A6" s="199"/>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51"/>
      <c r="AG6" s="151"/>
      <c r="AH6" s="151"/>
      <c r="AI6" s="151"/>
      <c r="AJ6" s="145"/>
    </row>
    <row r="7" spans="1:36" ht="15">
      <c r="A7" s="298" t="s">
        <v>250</v>
      </c>
      <c r="B7" s="213">
        <v>100</v>
      </c>
      <c r="C7" s="213">
        <v>100</v>
      </c>
      <c r="D7" s="213">
        <v>100</v>
      </c>
      <c r="E7" s="213">
        <v>100</v>
      </c>
      <c r="F7" s="213">
        <v>100</v>
      </c>
      <c r="G7" s="213">
        <v>100</v>
      </c>
      <c r="H7" s="213">
        <v>100</v>
      </c>
      <c r="I7" s="213">
        <v>100</v>
      </c>
      <c r="J7" s="213">
        <v>100</v>
      </c>
      <c r="K7" s="213">
        <v>100</v>
      </c>
      <c r="L7" s="213">
        <v>100</v>
      </c>
      <c r="M7" s="213">
        <v>100</v>
      </c>
      <c r="N7" s="214">
        <f>SUM(B7:M7)</f>
        <v>1200</v>
      </c>
      <c r="O7" s="213">
        <v>100</v>
      </c>
      <c r="P7" s="213">
        <v>100</v>
      </c>
      <c r="Q7" s="213">
        <v>100</v>
      </c>
      <c r="R7" s="213">
        <v>100</v>
      </c>
      <c r="S7" s="213">
        <v>100</v>
      </c>
      <c r="T7" s="213">
        <v>100</v>
      </c>
      <c r="U7" s="213">
        <v>100</v>
      </c>
      <c r="V7" s="213">
        <v>100</v>
      </c>
      <c r="W7" s="213">
        <v>100</v>
      </c>
      <c r="X7" s="213">
        <v>100</v>
      </c>
      <c r="Y7" s="213">
        <v>100</v>
      </c>
      <c r="Z7" s="213">
        <v>100</v>
      </c>
      <c r="AA7" s="214">
        <f>SUM(O7:Z7)</f>
        <v>1200</v>
      </c>
      <c r="AB7" s="213">
        <v>1260</v>
      </c>
      <c r="AC7" s="213">
        <v>1323</v>
      </c>
      <c r="AD7" s="213">
        <v>1389</v>
      </c>
      <c r="AE7" s="188"/>
      <c r="AF7" s="152">
        <v>0</v>
      </c>
      <c r="AG7" s="151"/>
      <c r="AH7" s="153">
        <v>0</v>
      </c>
      <c r="AI7" s="151">
        <v>0</v>
      </c>
      <c r="AJ7" s="145"/>
    </row>
    <row r="8" spans="1:36" ht="15">
      <c r="A8" s="154" t="s">
        <v>187</v>
      </c>
      <c r="B8" s="155">
        <f aca="true" t="shared" si="4" ref="B8:M8">SUM(B7:B7)</f>
        <v>100</v>
      </c>
      <c r="C8" s="155">
        <f t="shared" si="4"/>
        <v>100</v>
      </c>
      <c r="D8" s="155">
        <f t="shared" si="4"/>
        <v>100</v>
      </c>
      <c r="E8" s="155">
        <f t="shared" si="4"/>
        <v>100</v>
      </c>
      <c r="F8" s="155">
        <f t="shared" si="4"/>
        <v>100</v>
      </c>
      <c r="G8" s="155">
        <f t="shared" si="4"/>
        <v>100</v>
      </c>
      <c r="H8" s="155">
        <f t="shared" si="4"/>
        <v>100</v>
      </c>
      <c r="I8" s="155">
        <f t="shared" si="4"/>
        <v>100</v>
      </c>
      <c r="J8" s="155">
        <f t="shared" si="4"/>
        <v>100</v>
      </c>
      <c r="K8" s="155">
        <f t="shared" si="4"/>
        <v>100</v>
      </c>
      <c r="L8" s="155">
        <f t="shared" si="4"/>
        <v>100</v>
      </c>
      <c r="M8" s="155">
        <f t="shared" si="4"/>
        <v>100</v>
      </c>
      <c r="N8" s="155">
        <f>SUM(B8:M8)</f>
        <v>1200</v>
      </c>
      <c r="O8" s="155">
        <f aca="true" t="shared" si="5" ref="O8:Z8">SUM(O7:O7)</f>
        <v>100</v>
      </c>
      <c r="P8" s="155">
        <f t="shared" si="5"/>
        <v>100</v>
      </c>
      <c r="Q8" s="155">
        <f t="shared" si="5"/>
        <v>100</v>
      </c>
      <c r="R8" s="155">
        <f t="shared" si="5"/>
        <v>100</v>
      </c>
      <c r="S8" s="155">
        <f t="shared" si="5"/>
        <v>100</v>
      </c>
      <c r="T8" s="155">
        <f t="shared" si="5"/>
        <v>100</v>
      </c>
      <c r="U8" s="155">
        <f t="shared" si="5"/>
        <v>100</v>
      </c>
      <c r="V8" s="155">
        <f t="shared" si="5"/>
        <v>100</v>
      </c>
      <c r="W8" s="155">
        <f t="shared" si="5"/>
        <v>100</v>
      </c>
      <c r="X8" s="155">
        <f t="shared" si="5"/>
        <v>100</v>
      </c>
      <c r="Y8" s="155">
        <f t="shared" si="5"/>
        <v>100</v>
      </c>
      <c r="Z8" s="155">
        <f t="shared" si="5"/>
        <v>100</v>
      </c>
      <c r="AA8" s="155">
        <f>SUM(O8:Z8)</f>
        <v>1200</v>
      </c>
      <c r="AB8" s="155">
        <f>SUM(AB7:AB7)</f>
        <v>1260</v>
      </c>
      <c r="AC8" s="155">
        <f>SUM(AC7:AC7)</f>
        <v>1323</v>
      </c>
      <c r="AD8" s="155">
        <f>SUM(AD7:AD7)</f>
        <v>1389</v>
      </c>
      <c r="AE8" s="188"/>
      <c r="AF8" s="151"/>
      <c r="AG8" s="151"/>
      <c r="AH8" s="151"/>
      <c r="AI8" s="151"/>
      <c r="AJ8" s="145"/>
    </row>
    <row r="9" spans="1:36" ht="15">
      <c r="A9" s="199"/>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51"/>
      <c r="AG9" s="151"/>
      <c r="AH9" s="151"/>
      <c r="AI9" s="151"/>
      <c r="AJ9" s="145"/>
    </row>
    <row r="10" spans="1:36" ht="15">
      <c r="A10" s="162" t="s">
        <v>79</v>
      </c>
      <c r="B10" s="163">
        <f aca="true" t="shared" si="6" ref="B10:M10">B5+B8</f>
        <v>750</v>
      </c>
      <c r="C10" s="163">
        <f t="shared" si="6"/>
        <v>750</v>
      </c>
      <c r="D10" s="163">
        <f t="shared" si="6"/>
        <v>750</v>
      </c>
      <c r="E10" s="163">
        <f t="shared" si="6"/>
        <v>750</v>
      </c>
      <c r="F10" s="163">
        <f t="shared" si="6"/>
        <v>750</v>
      </c>
      <c r="G10" s="163">
        <f t="shared" si="6"/>
        <v>750</v>
      </c>
      <c r="H10" s="163">
        <f t="shared" si="6"/>
        <v>750</v>
      </c>
      <c r="I10" s="163">
        <f t="shared" si="6"/>
        <v>750</v>
      </c>
      <c r="J10" s="163">
        <f t="shared" si="6"/>
        <v>750</v>
      </c>
      <c r="K10" s="163">
        <f t="shared" si="6"/>
        <v>750</v>
      </c>
      <c r="L10" s="163">
        <f t="shared" si="6"/>
        <v>750</v>
      </c>
      <c r="M10" s="163">
        <f t="shared" si="6"/>
        <v>750</v>
      </c>
      <c r="N10" s="163">
        <f>SUM(B10:M10)</f>
        <v>9000</v>
      </c>
      <c r="O10" s="163">
        <f aca="true" t="shared" si="7" ref="O10:Z10">O5+O8</f>
        <v>800</v>
      </c>
      <c r="P10" s="163">
        <f t="shared" si="7"/>
        <v>800</v>
      </c>
      <c r="Q10" s="163">
        <f t="shared" si="7"/>
        <v>800</v>
      </c>
      <c r="R10" s="163">
        <f t="shared" si="7"/>
        <v>800</v>
      </c>
      <c r="S10" s="163">
        <f t="shared" si="7"/>
        <v>800</v>
      </c>
      <c r="T10" s="163">
        <f t="shared" si="7"/>
        <v>800</v>
      </c>
      <c r="U10" s="163">
        <f t="shared" si="7"/>
        <v>800</v>
      </c>
      <c r="V10" s="163">
        <f t="shared" si="7"/>
        <v>800</v>
      </c>
      <c r="W10" s="163">
        <f t="shared" si="7"/>
        <v>800</v>
      </c>
      <c r="X10" s="163">
        <f t="shared" si="7"/>
        <v>800</v>
      </c>
      <c r="Y10" s="163">
        <f t="shared" si="7"/>
        <v>800</v>
      </c>
      <c r="Z10" s="163">
        <f t="shared" si="7"/>
        <v>800</v>
      </c>
      <c r="AA10" s="163">
        <f>SUM(O10:Z10)</f>
        <v>9600</v>
      </c>
      <c r="AB10" s="163">
        <f>AB5+AB8</f>
        <v>10170</v>
      </c>
      <c r="AC10" s="163">
        <f>AC5+AC8</f>
        <v>10778</v>
      </c>
      <c r="AD10" s="163">
        <f>AD5+AD8</f>
        <v>11426</v>
      </c>
      <c r="AE10" s="199"/>
      <c r="AF10" s="157"/>
      <c r="AG10" s="151"/>
      <c r="AH10" s="157"/>
      <c r="AI10" s="156"/>
      <c r="AJ10" s="145"/>
    </row>
    <row r="11" spans="1:36" ht="15">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199"/>
      <c r="AF11" s="157"/>
      <c r="AG11" s="151"/>
      <c r="AH11" s="157"/>
      <c r="AI11" s="156"/>
      <c r="AJ11" s="145"/>
    </row>
    <row r="12" spans="1:36" ht="15" hidden="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199"/>
      <c r="AF12" s="156"/>
      <c r="AG12" s="151"/>
      <c r="AH12" s="151"/>
      <c r="AI12" s="151"/>
      <c r="AJ12" s="145"/>
    </row>
    <row r="13" spans="1:36" s="39" customFormat="1" ht="15" hidden="1">
      <c r="A13" s="210" t="s">
        <v>37</v>
      </c>
      <c r="B13" s="210">
        <f aca="true" t="shared" si="8" ref="B13:M13">SUMPRODUCT(B2:B10,$AF2:$AF10)</f>
        <v>0</v>
      </c>
      <c r="C13" s="210">
        <f t="shared" si="8"/>
        <v>0</v>
      </c>
      <c r="D13" s="210">
        <f t="shared" si="8"/>
        <v>0</v>
      </c>
      <c r="E13" s="210">
        <f t="shared" si="8"/>
        <v>0</v>
      </c>
      <c r="F13" s="210">
        <f t="shared" si="8"/>
        <v>0</v>
      </c>
      <c r="G13" s="210">
        <f t="shared" si="8"/>
        <v>0</v>
      </c>
      <c r="H13" s="210">
        <f t="shared" si="8"/>
        <v>0</v>
      </c>
      <c r="I13" s="210">
        <f t="shared" si="8"/>
        <v>0</v>
      </c>
      <c r="J13" s="210">
        <f t="shared" si="8"/>
        <v>0</v>
      </c>
      <c r="K13" s="210">
        <f t="shared" si="8"/>
        <v>0</v>
      </c>
      <c r="L13" s="210">
        <f t="shared" si="8"/>
        <v>0</v>
      </c>
      <c r="M13" s="210">
        <f t="shared" si="8"/>
        <v>0</v>
      </c>
      <c r="N13" s="210"/>
      <c r="O13" s="210">
        <f aca="true" t="shared" si="9" ref="O13:Z13">SUMPRODUCT(O2:O10,$AF2:$AF10)</f>
        <v>0</v>
      </c>
      <c r="P13" s="210">
        <f t="shared" si="9"/>
        <v>0</v>
      </c>
      <c r="Q13" s="210">
        <f t="shared" si="9"/>
        <v>0</v>
      </c>
      <c r="R13" s="210">
        <f t="shared" si="9"/>
        <v>0</v>
      </c>
      <c r="S13" s="210">
        <f t="shared" si="9"/>
        <v>0</v>
      </c>
      <c r="T13" s="210">
        <f t="shared" si="9"/>
        <v>0</v>
      </c>
      <c r="U13" s="210">
        <f t="shared" si="9"/>
        <v>0</v>
      </c>
      <c r="V13" s="210">
        <f t="shared" si="9"/>
        <v>0</v>
      </c>
      <c r="W13" s="210">
        <f t="shared" si="9"/>
        <v>0</v>
      </c>
      <c r="X13" s="210">
        <f t="shared" si="9"/>
        <v>0</v>
      </c>
      <c r="Y13" s="210">
        <f t="shared" si="9"/>
        <v>0</v>
      </c>
      <c r="Z13" s="210">
        <f t="shared" si="9"/>
        <v>0</v>
      </c>
      <c r="AA13" s="210"/>
      <c r="AB13" s="210">
        <f>SUMPRODUCT(AB2:AB10,$AF2:$AF10)</f>
        <v>0</v>
      </c>
      <c r="AC13" s="210">
        <f>SUMPRODUCT(AC2:AC10,$AF2:$AF10)</f>
        <v>0</v>
      </c>
      <c r="AD13" s="210">
        <f>SUMPRODUCT(AD2:AD10,$AF2:$AF10)</f>
        <v>0</v>
      </c>
      <c r="AE13" s="210"/>
      <c r="AF13" s="156"/>
      <c r="AG13" s="151"/>
      <c r="AH13" s="151"/>
      <c r="AI13" s="151"/>
      <c r="AJ13" s="148"/>
    </row>
    <row r="14" spans="1:36" s="4" customFormat="1" ht="15" hidden="1">
      <c r="A14" s="210"/>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1"/>
      <c r="AF14" s="157"/>
      <c r="AG14" s="151"/>
      <c r="AH14" s="157"/>
      <c r="AI14" s="156"/>
      <c r="AJ14" s="149"/>
    </row>
    <row r="15" spans="1:36" s="39" customFormat="1" ht="15" hidden="1">
      <c r="A15" s="210" t="s">
        <v>50</v>
      </c>
      <c r="B15" s="210">
        <f aca="true" t="shared" si="10" ref="B15:M15">B10-B16</f>
        <v>750</v>
      </c>
      <c r="C15" s="210">
        <f t="shared" si="10"/>
        <v>750</v>
      </c>
      <c r="D15" s="210">
        <f t="shared" si="10"/>
        <v>750</v>
      </c>
      <c r="E15" s="210">
        <f t="shared" si="10"/>
        <v>750</v>
      </c>
      <c r="F15" s="210">
        <f t="shared" si="10"/>
        <v>750</v>
      </c>
      <c r="G15" s="210">
        <f t="shared" si="10"/>
        <v>750</v>
      </c>
      <c r="H15" s="210">
        <f t="shared" si="10"/>
        <v>750</v>
      </c>
      <c r="I15" s="210">
        <f t="shared" si="10"/>
        <v>750</v>
      </c>
      <c r="J15" s="210">
        <f t="shared" si="10"/>
        <v>750</v>
      </c>
      <c r="K15" s="210">
        <f t="shared" si="10"/>
        <v>750</v>
      </c>
      <c r="L15" s="210">
        <f t="shared" si="10"/>
        <v>750</v>
      </c>
      <c r="M15" s="210">
        <f t="shared" si="10"/>
        <v>750</v>
      </c>
      <c r="N15" s="210"/>
      <c r="O15" s="210">
        <f aca="true" t="shared" si="11" ref="O15:Z15">O10-O16</f>
        <v>800</v>
      </c>
      <c r="P15" s="210">
        <f t="shared" si="11"/>
        <v>800</v>
      </c>
      <c r="Q15" s="210">
        <f t="shared" si="11"/>
        <v>800</v>
      </c>
      <c r="R15" s="210">
        <f t="shared" si="11"/>
        <v>800</v>
      </c>
      <c r="S15" s="210">
        <f t="shared" si="11"/>
        <v>800</v>
      </c>
      <c r="T15" s="210">
        <f t="shared" si="11"/>
        <v>800</v>
      </c>
      <c r="U15" s="210">
        <f t="shared" si="11"/>
        <v>800</v>
      </c>
      <c r="V15" s="210">
        <f t="shared" si="11"/>
        <v>800</v>
      </c>
      <c r="W15" s="210">
        <f t="shared" si="11"/>
        <v>800</v>
      </c>
      <c r="X15" s="210">
        <f t="shared" si="11"/>
        <v>800</v>
      </c>
      <c r="Y15" s="210">
        <f t="shared" si="11"/>
        <v>800</v>
      </c>
      <c r="Z15" s="210">
        <f t="shared" si="11"/>
        <v>800</v>
      </c>
      <c r="AA15" s="210"/>
      <c r="AB15" s="210">
        <f>AB10-AB16</f>
        <v>10170</v>
      </c>
      <c r="AC15" s="210">
        <f>AC10-AC16</f>
        <v>10778</v>
      </c>
      <c r="AD15" s="210">
        <f>AD10-AD16</f>
        <v>11426</v>
      </c>
      <c r="AE15" s="210"/>
      <c r="AF15" s="157"/>
      <c r="AG15" s="151"/>
      <c r="AH15" s="157"/>
      <c r="AI15" s="156"/>
      <c r="AJ15" s="148"/>
    </row>
    <row r="16" spans="1:36" s="39" customFormat="1" ht="15" hidden="1">
      <c r="A16" s="210" t="s">
        <v>148</v>
      </c>
      <c r="B16" s="210">
        <f aca="true" t="shared" si="12" ref="B16:M16">SUMPRODUCT(B2:B10,$AH2:$AH10)</f>
        <v>0</v>
      </c>
      <c r="C16" s="210">
        <f t="shared" si="12"/>
        <v>0</v>
      </c>
      <c r="D16" s="210">
        <f t="shared" si="12"/>
        <v>0</v>
      </c>
      <c r="E16" s="210">
        <f t="shared" si="12"/>
        <v>0</v>
      </c>
      <c r="F16" s="210">
        <f t="shared" si="12"/>
        <v>0</v>
      </c>
      <c r="G16" s="210">
        <f t="shared" si="12"/>
        <v>0</v>
      </c>
      <c r="H16" s="210">
        <f t="shared" si="12"/>
        <v>0</v>
      </c>
      <c r="I16" s="210">
        <f t="shared" si="12"/>
        <v>0</v>
      </c>
      <c r="J16" s="210">
        <f t="shared" si="12"/>
        <v>0</v>
      </c>
      <c r="K16" s="210">
        <f t="shared" si="12"/>
        <v>0</v>
      </c>
      <c r="L16" s="210">
        <f t="shared" si="12"/>
        <v>0</v>
      </c>
      <c r="M16" s="210">
        <f t="shared" si="12"/>
        <v>0</v>
      </c>
      <c r="N16" s="210"/>
      <c r="O16" s="210">
        <f aca="true" t="shared" si="13" ref="O16:Z16">SUMPRODUCT(O2:O10,$AH2:$AH10)</f>
        <v>0</v>
      </c>
      <c r="P16" s="210">
        <f t="shared" si="13"/>
        <v>0</v>
      </c>
      <c r="Q16" s="210">
        <f t="shared" si="13"/>
        <v>0</v>
      </c>
      <c r="R16" s="210">
        <f t="shared" si="13"/>
        <v>0</v>
      </c>
      <c r="S16" s="210">
        <f t="shared" si="13"/>
        <v>0</v>
      </c>
      <c r="T16" s="210">
        <f t="shared" si="13"/>
        <v>0</v>
      </c>
      <c r="U16" s="210">
        <f t="shared" si="13"/>
        <v>0</v>
      </c>
      <c r="V16" s="210">
        <f t="shared" si="13"/>
        <v>0</v>
      </c>
      <c r="W16" s="210">
        <f t="shared" si="13"/>
        <v>0</v>
      </c>
      <c r="X16" s="210">
        <f t="shared" si="13"/>
        <v>0</v>
      </c>
      <c r="Y16" s="210">
        <f t="shared" si="13"/>
        <v>0</v>
      </c>
      <c r="Z16" s="210">
        <f t="shared" si="13"/>
        <v>0</v>
      </c>
      <c r="AA16" s="210"/>
      <c r="AB16" s="210">
        <f>SUMPRODUCT(AB2:AB10,$AH2:$AH10)</f>
        <v>0</v>
      </c>
      <c r="AC16" s="210">
        <f>SUMPRODUCT(AC2:AC10,$AH2:$AH10)</f>
        <v>0</v>
      </c>
      <c r="AD16" s="210">
        <f>SUMPRODUCT(AD2:AD10,$AH2:$AH10)</f>
        <v>0</v>
      </c>
      <c r="AE16" s="210"/>
      <c r="AF16" s="157"/>
      <c r="AG16" s="151"/>
      <c r="AH16" s="151"/>
      <c r="AI16" s="151"/>
      <c r="AJ16" s="148"/>
    </row>
    <row r="17" spans="1:36" s="4" customFormat="1" ht="15" hidden="1">
      <c r="A17" s="211" t="s">
        <v>90</v>
      </c>
      <c r="B17" s="211">
        <f aca="true" t="shared" si="14" ref="B17:M17">IF(B16=0,0,SUMPRODUCT(B2:B10,$AH2:$AH10,$AI2:$AI10)/B16)</f>
        <v>0</v>
      </c>
      <c r="C17" s="211">
        <f t="shared" si="14"/>
        <v>0</v>
      </c>
      <c r="D17" s="211">
        <f t="shared" si="14"/>
        <v>0</v>
      </c>
      <c r="E17" s="211">
        <f t="shared" si="14"/>
        <v>0</v>
      </c>
      <c r="F17" s="211">
        <f t="shared" si="14"/>
        <v>0</v>
      </c>
      <c r="G17" s="211">
        <f t="shared" si="14"/>
        <v>0</v>
      </c>
      <c r="H17" s="211">
        <f t="shared" si="14"/>
        <v>0</v>
      </c>
      <c r="I17" s="211">
        <f t="shared" si="14"/>
        <v>0</v>
      </c>
      <c r="J17" s="211">
        <f t="shared" si="14"/>
        <v>0</v>
      </c>
      <c r="K17" s="211">
        <f t="shared" si="14"/>
        <v>0</v>
      </c>
      <c r="L17" s="211">
        <f t="shared" si="14"/>
        <v>0</v>
      </c>
      <c r="M17" s="211">
        <f t="shared" si="14"/>
        <v>0</v>
      </c>
      <c r="N17" s="211"/>
      <c r="O17" s="211">
        <f aca="true" t="shared" si="15" ref="O17:Z17">IF(O16=0,0,SUMPRODUCT(O2:O10,$AH2:$AH10,$AI2:$AI10)/O16)</f>
        <v>0</v>
      </c>
      <c r="P17" s="211">
        <f t="shared" si="15"/>
        <v>0</v>
      </c>
      <c r="Q17" s="211">
        <f t="shared" si="15"/>
        <v>0</v>
      </c>
      <c r="R17" s="211">
        <f t="shared" si="15"/>
        <v>0</v>
      </c>
      <c r="S17" s="211">
        <f t="shared" si="15"/>
        <v>0</v>
      </c>
      <c r="T17" s="211">
        <f t="shared" si="15"/>
        <v>0</v>
      </c>
      <c r="U17" s="211">
        <f t="shared" si="15"/>
        <v>0</v>
      </c>
      <c r="V17" s="211">
        <f t="shared" si="15"/>
        <v>0</v>
      </c>
      <c r="W17" s="211">
        <f t="shared" si="15"/>
        <v>0</v>
      </c>
      <c r="X17" s="211">
        <f t="shared" si="15"/>
        <v>0</v>
      </c>
      <c r="Y17" s="211">
        <f t="shared" si="15"/>
        <v>0</v>
      </c>
      <c r="Z17" s="211">
        <f t="shared" si="15"/>
        <v>0</v>
      </c>
      <c r="AA17" s="211"/>
      <c r="AB17" s="211">
        <f>IF(AB16=0,0,SUMPRODUCT(AB2:AB10,$AH2:$AH10,$AI2:$AI10)/AB16)</f>
        <v>0</v>
      </c>
      <c r="AC17" s="211">
        <f>IF(AC16=0,0,SUMPRODUCT(AC2:AC10,$AH2:$AH10,$AI2:$AI10)/AC16)</f>
        <v>0</v>
      </c>
      <c r="AD17" s="211">
        <f>IF(AD16=0,0,SUMPRODUCT(AD2:AD10,$AH2:$AH10,$AI2:$AI10)/AD16)</f>
        <v>0</v>
      </c>
      <c r="AE17" s="211"/>
      <c r="AF17" s="157"/>
      <c r="AG17" s="151"/>
      <c r="AH17" s="151"/>
      <c r="AI17" s="151"/>
      <c r="AJ17" s="149"/>
    </row>
    <row r="18" spans="1:36" ht="15" hidden="1">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57"/>
      <c r="AG18" s="151"/>
      <c r="AH18" s="157"/>
      <c r="AI18" s="156"/>
      <c r="AJ18" s="145"/>
    </row>
    <row r="19" spans="1:36" ht="15">
      <c r="A19" s="199"/>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57"/>
      <c r="AG19" s="151"/>
      <c r="AH19" s="157"/>
      <c r="AI19" s="156"/>
      <c r="AJ19" s="145"/>
    </row>
    <row r="20" spans="1:36" ht="15">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57"/>
      <c r="AG20" s="151"/>
      <c r="AH20" s="151"/>
      <c r="AI20" s="151"/>
      <c r="AJ20" s="145"/>
    </row>
    <row r="21" spans="1:36" ht="15">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53"/>
      <c r="AG21" s="151"/>
      <c r="AH21" s="151"/>
      <c r="AI21" s="151"/>
      <c r="AJ21" s="145"/>
    </row>
    <row r="22" spans="1:36" ht="12.75">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51"/>
      <c r="AG22" s="151"/>
      <c r="AH22" s="151"/>
      <c r="AI22" s="151"/>
      <c r="AJ22" s="145"/>
    </row>
    <row r="23" spans="1:36" ht="12.7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51"/>
      <c r="AG23" s="151"/>
      <c r="AH23" s="151"/>
      <c r="AI23" s="151"/>
      <c r="AJ23" s="145"/>
    </row>
    <row r="24" spans="1:36" ht="12.75">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51"/>
      <c r="AG24" s="151"/>
      <c r="AH24" s="151"/>
      <c r="AI24" s="151"/>
      <c r="AJ24" s="145"/>
    </row>
    <row r="25" spans="1:36" ht="12.75">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61"/>
      <c r="AG25" s="161"/>
      <c r="AH25" s="161"/>
      <c r="AI25" s="161"/>
      <c r="AJ25" s="145"/>
    </row>
    <row r="26" spans="1:36" ht="12.75">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51"/>
      <c r="AG26" s="151"/>
      <c r="AH26" s="151"/>
      <c r="AI26" s="151"/>
      <c r="AJ26" s="145"/>
    </row>
    <row r="27" spans="1:36" ht="12.75">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61"/>
      <c r="AG27" s="161"/>
      <c r="AH27" s="161"/>
      <c r="AI27" s="161"/>
      <c r="AJ27" s="145"/>
    </row>
    <row r="28" spans="32:35" ht="12.75">
      <c r="AF28" s="139"/>
      <c r="AG28" s="139"/>
      <c r="AH28" s="139"/>
      <c r="AI28" s="139"/>
    </row>
  </sheetData>
  <sheetProtection/>
  <printOptions/>
  <pageMargins left="0.75" right="0.75" top="1" bottom="1" header="0.5" footer="0.5"/>
  <pageSetup fitToHeight="0" fitToWidth="0" horizontalDpi="300" verticalDpi="300"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H65"/>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E13" sqref="AE13"/>
    </sheetView>
  </sheetViews>
  <sheetFormatPr defaultColWidth="11.710937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1" width="11.7109375" style="0" customWidth="1"/>
    <col min="32" max="33" width="11.7109375" style="101" hidden="1" customWidth="1"/>
    <col min="34" max="37" width="11.7109375" style="0" customWidth="1"/>
  </cols>
  <sheetData>
    <row r="1" spans="1:34" ht="15.75" customHeight="1">
      <c r="A1" s="141" t="str">
        <f>"SALARIOS ("&amp;Introducción!E17&amp;")"</f>
        <v>SALARIOS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88"/>
      <c r="AF1" s="145" t="s">
        <v>180</v>
      </c>
      <c r="AG1" s="145" t="s">
        <v>204</v>
      </c>
      <c r="AH1" s="145"/>
    </row>
    <row r="2" spans="1:34" ht="15">
      <c r="A2" s="199"/>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51"/>
      <c r="AG2" s="151"/>
      <c r="AH2" s="145"/>
    </row>
    <row r="3" spans="1:34" ht="15">
      <c r="A3" s="202" t="s">
        <v>165</v>
      </c>
      <c r="B3" s="209">
        <v>1</v>
      </c>
      <c r="C3" s="209">
        <v>1</v>
      </c>
      <c r="D3" s="209">
        <v>1</v>
      </c>
      <c r="E3" s="209">
        <v>1</v>
      </c>
      <c r="F3" s="209">
        <v>1</v>
      </c>
      <c r="G3" s="209">
        <v>1</v>
      </c>
      <c r="H3" s="209">
        <v>1</v>
      </c>
      <c r="I3" s="209">
        <v>1</v>
      </c>
      <c r="J3" s="209">
        <v>1</v>
      </c>
      <c r="K3" s="209">
        <v>1</v>
      </c>
      <c r="L3" s="209">
        <v>1</v>
      </c>
      <c r="M3" s="209">
        <v>1</v>
      </c>
      <c r="N3" s="216">
        <f>SUM(B3:M3)/12</f>
        <v>1</v>
      </c>
      <c r="O3" s="209">
        <v>1</v>
      </c>
      <c r="P3" s="209">
        <v>1</v>
      </c>
      <c r="Q3" s="209">
        <v>1</v>
      </c>
      <c r="R3" s="209">
        <v>1</v>
      </c>
      <c r="S3" s="209">
        <v>1</v>
      </c>
      <c r="T3" s="209">
        <v>1</v>
      </c>
      <c r="U3" s="209">
        <v>1</v>
      </c>
      <c r="V3" s="209">
        <v>1</v>
      </c>
      <c r="W3" s="209">
        <v>1</v>
      </c>
      <c r="X3" s="209">
        <v>1</v>
      </c>
      <c r="Y3" s="209">
        <v>1</v>
      </c>
      <c r="Z3" s="209">
        <v>1</v>
      </c>
      <c r="AA3" s="216">
        <f>SUM(O3:Z3)/12</f>
        <v>1</v>
      </c>
      <c r="AB3" s="209">
        <v>1</v>
      </c>
      <c r="AC3" s="209">
        <v>1</v>
      </c>
      <c r="AD3" s="209">
        <v>1</v>
      </c>
      <c r="AE3" s="188"/>
      <c r="AF3" s="151"/>
      <c r="AG3" s="151"/>
      <c r="AH3" s="145"/>
    </row>
    <row r="4" spans="1:34" ht="15">
      <c r="A4" s="202" t="s">
        <v>74</v>
      </c>
      <c r="B4" s="213">
        <v>500</v>
      </c>
      <c r="C4" s="213">
        <v>500</v>
      </c>
      <c r="D4" s="213">
        <v>500</v>
      </c>
      <c r="E4" s="213">
        <v>500</v>
      </c>
      <c r="F4" s="213">
        <v>500</v>
      </c>
      <c r="G4" s="213">
        <v>500</v>
      </c>
      <c r="H4" s="213">
        <v>500</v>
      </c>
      <c r="I4" s="213">
        <v>500</v>
      </c>
      <c r="J4" s="213">
        <v>500</v>
      </c>
      <c r="K4" s="213">
        <v>500</v>
      </c>
      <c r="L4" s="213">
        <v>500</v>
      </c>
      <c r="M4" s="213">
        <v>500</v>
      </c>
      <c r="N4" s="214">
        <f>SUM(B4:M4)</f>
        <v>6000</v>
      </c>
      <c r="O4" s="213">
        <v>500</v>
      </c>
      <c r="P4" s="213">
        <v>500</v>
      </c>
      <c r="Q4" s="213">
        <v>500</v>
      </c>
      <c r="R4" s="213">
        <v>500</v>
      </c>
      <c r="S4" s="213">
        <v>500</v>
      </c>
      <c r="T4" s="213">
        <v>500</v>
      </c>
      <c r="U4" s="213">
        <v>500</v>
      </c>
      <c r="V4" s="213">
        <v>500</v>
      </c>
      <c r="W4" s="213">
        <v>500</v>
      </c>
      <c r="X4" s="213">
        <v>500</v>
      </c>
      <c r="Y4" s="213">
        <v>500</v>
      </c>
      <c r="Z4" s="213">
        <v>500</v>
      </c>
      <c r="AA4" s="214">
        <f>SUM(O4:Z4)</f>
        <v>6000</v>
      </c>
      <c r="AB4" s="213">
        <v>6300</v>
      </c>
      <c r="AC4" s="213">
        <v>6615</v>
      </c>
      <c r="AD4" s="213">
        <v>6946</v>
      </c>
      <c r="AE4" s="188"/>
      <c r="AF4" s="151"/>
      <c r="AG4" s="151"/>
      <c r="AH4" s="145"/>
    </row>
    <row r="5" spans="1:34" ht="15">
      <c r="A5" s="299" t="s">
        <v>112</v>
      </c>
      <c r="B5" s="155">
        <f aca="true" t="shared" si="2" ref="B5:M5">B3*B4</f>
        <v>500</v>
      </c>
      <c r="C5" s="155">
        <f t="shared" si="2"/>
        <v>500</v>
      </c>
      <c r="D5" s="155">
        <f t="shared" si="2"/>
        <v>500</v>
      </c>
      <c r="E5" s="155">
        <f t="shared" si="2"/>
        <v>500</v>
      </c>
      <c r="F5" s="155">
        <f t="shared" si="2"/>
        <v>500</v>
      </c>
      <c r="G5" s="155">
        <f t="shared" si="2"/>
        <v>500</v>
      </c>
      <c r="H5" s="155">
        <f t="shared" si="2"/>
        <v>500</v>
      </c>
      <c r="I5" s="155">
        <f t="shared" si="2"/>
        <v>500</v>
      </c>
      <c r="J5" s="155">
        <f t="shared" si="2"/>
        <v>500</v>
      </c>
      <c r="K5" s="155">
        <f t="shared" si="2"/>
        <v>500</v>
      </c>
      <c r="L5" s="155">
        <f t="shared" si="2"/>
        <v>500</v>
      </c>
      <c r="M5" s="155">
        <f t="shared" si="2"/>
        <v>500</v>
      </c>
      <c r="N5" s="155">
        <f>SUM(B5:M5)</f>
        <v>6000</v>
      </c>
      <c r="O5" s="155">
        <f aca="true" t="shared" si="3" ref="O5:Z5">O3*O4</f>
        <v>500</v>
      </c>
      <c r="P5" s="155">
        <f t="shared" si="3"/>
        <v>500</v>
      </c>
      <c r="Q5" s="155">
        <f t="shared" si="3"/>
        <v>500</v>
      </c>
      <c r="R5" s="155">
        <f t="shared" si="3"/>
        <v>500</v>
      </c>
      <c r="S5" s="155">
        <f t="shared" si="3"/>
        <v>500</v>
      </c>
      <c r="T5" s="155">
        <f t="shared" si="3"/>
        <v>500</v>
      </c>
      <c r="U5" s="155">
        <f t="shared" si="3"/>
        <v>500</v>
      </c>
      <c r="V5" s="155">
        <f t="shared" si="3"/>
        <v>500</v>
      </c>
      <c r="W5" s="155">
        <f t="shared" si="3"/>
        <v>500</v>
      </c>
      <c r="X5" s="155">
        <f t="shared" si="3"/>
        <v>500</v>
      </c>
      <c r="Y5" s="155">
        <f t="shared" si="3"/>
        <v>500</v>
      </c>
      <c r="Z5" s="155">
        <f t="shared" si="3"/>
        <v>500</v>
      </c>
      <c r="AA5" s="155">
        <f>SUM(O5:Z5)</f>
        <v>6000</v>
      </c>
      <c r="AB5" s="155">
        <f>AB3*AB4</f>
        <v>6300</v>
      </c>
      <c r="AC5" s="155">
        <f>AC3*AC4</f>
        <v>6615</v>
      </c>
      <c r="AD5" s="155">
        <f>AD3*AD4</f>
        <v>6946</v>
      </c>
      <c r="AE5" s="188"/>
      <c r="AF5" s="153">
        <v>0</v>
      </c>
      <c r="AG5" s="151">
        <v>0</v>
      </c>
      <c r="AH5" s="145"/>
    </row>
    <row r="6" spans="1:34" ht="15">
      <c r="A6" s="196"/>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188"/>
      <c r="AF6" s="151"/>
      <c r="AG6" s="151"/>
      <c r="AH6" s="145"/>
    </row>
    <row r="7" spans="1:34" ht="15">
      <c r="A7" s="154" t="s">
        <v>14</v>
      </c>
      <c r="B7" s="155">
        <f aca="true" t="shared" si="4" ref="B7:M7">B5</f>
        <v>500</v>
      </c>
      <c r="C7" s="155">
        <f t="shared" si="4"/>
        <v>500</v>
      </c>
      <c r="D7" s="155">
        <f t="shared" si="4"/>
        <v>500</v>
      </c>
      <c r="E7" s="155">
        <f t="shared" si="4"/>
        <v>500</v>
      </c>
      <c r="F7" s="155">
        <f t="shared" si="4"/>
        <v>500</v>
      </c>
      <c r="G7" s="155">
        <f t="shared" si="4"/>
        <v>500</v>
      </c>
      <c r="H7" s="155">
        <f t="shared" si="4"/>
        <v>500</v>
      </c>
      <c r="I7" s="155">
        <f t="shared" si="4"/>
        <v>500</v>
      </c>
      <c r="J7" s="155">
        <f t="shared" si="4"/>
        <v>500</v>
      </c>
      <c r="K7" s="155">
        <f t="shared" si="4"/>
        <v>500</v>
      </c>
      <c r="L7" s="155">
        <f t="shared" si="4"/>
        <v>500</v>
      </c>
      <c r="M7" s="155">
        <f t="shared" si="4"/>
        <v>500</v>
      </c>
      <c r="N7" s="155">
        <f>SUM(B7:M7)</f>
        <v>6000</v>
      </c>
      <c r="O7" s="155">
        <f aca="true" t="shared" si="5" ref="O7:Z7">O5</f>
        <v>500</v>
      </c>
      <c r="P7" s="155">
        <f t="shared" si="5"/>
        <v>500</v>
      </c>
      <c r="Q7" s="155">
        <f t="shared" si="5"/>
        <v>500</v>
      </c>
      <c r="R7" s="155">
        <f t="shared" si="5"/>
        <v>500</v>
      </c>
      <c r="S7" s="155">
        <f t="shared" si="5"/>
        <v>500</v>
      </c>
      <c r="T7" s="155">
        <f t="shared" si="5"/>
        <v>500</v>
      </c>
      <c r="U7" s="155">
        <f t="shared" si="5"/>
        <v>500</v>
      </c>
      <c r="V7" s="155">
        <f t="shared" si="5"/>
        <v>500</v>
      </c>
      <c r="W7" s="155">
        <f t="shared" si="5"/>
        <v>500</v>
      </c>
      <c r="X7" s="155">
        <f t="shared" si="5"/>
        <v>500</v>
      </c>
      <c r="Y7" s="155">
        <f t="shared" si="5"/>
        <v>500</v>
      </c>
      <c r="Z7" s="155">
        <f t="shared" si="5"/>
        <v>500</v>
      </c>
      <c r="AA7" s="155">
        <f>SUM(O7:Z7)</f>
        <v>6000</v>
      </c>
      <c r="AB7" s="155">
        <f>AB5</f>
        <v>6300</v>
      </c>
      <c r="AC7" s="155">
        <f>AC5</f>
        <v>6615</v>
      </c>
      <c r="AD7" s="155">
        <f>AD5</f>
        <v>6946</v>
      </c>
      <c r="AE7" s="188"/>
      <c r="AF7" s="151"/>
      <c r="AG7" s="151"/>
      <c r="AH7" s="145"/>
    </row>
    <row r="8" spans="1:34" ht="15">
      <c r="A8" s="199"/>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51"/>
      <c r="AG8" s="151"/>
      <c r="AH8" s="145"/>
    </row>
    <row r="9" spans="1:34" ht="15">
      <c r="A9" s="202" t="s">
        <v>165</v>
      </c>
      <c r="B9" s="209">
        <v>1</v>
      </c>
      <c r="C9" s="209">
        <v>1</v>
      </c>
      <c r="D9" s="209">
        <v>1</v>
      </c>
      <c r="E9" s="209">
        <v>1</v>
      </c>
      <c r="F9" s="209">
        <v>1</v>
      </c>
      <c r="G9" s="209">
        <v>1</v>
      </c>
      <c r="H9" s="209">
        <v>1</v>
      </c>
      <c r="I9" s="209">
        <v>1</v>
      </c>
      <c r="J9" s="209">
        <v>1</v>
      </c>
      <c r="K9" s="209">
        <v>1</v>
      </c>
      <c r="L9" s="209">
        <v>1</v>
      </c>
      <c r="M9" s="209">
        <v>1</v>
      </c>
      <c r="N9" s="216">
        <f>SUM(B9:M9)/12</f>
        <v>1</v>
      </c>
      <c r="O9" s="209">
        <v>1</v>
      </c>
      <c r="P9" s="209">
        <v>1</v>
      </c>
      <c r="Q9" s="209">
        <v>1</v>
      </c>
      <c r="R9" s="209">
        <v>1</v>
      </c>
      <c r="S9" s="209">
        <v>1</v>
      </c>
      <c r="T9" s="209">
        <v>1</v>
      </c>
      <c r="U9" s="209">
        <v>1</v>
      </c>
      <c r="V9" s="209">
        <v>1</v>
      </c>
      <c r="W9" s="209">
        <v>1</v>
      </c>
      <c r="X9" s="209">
        <v>1</v>
      </c>
      <c r="Y9" s="209">
        <v>1</v>
      </c>
      <c r="Z9" s="209">
        <v>1</v>
      </c>
      <c r="AA9" s="216">
        <f>SUM(O9:Z9)/12</f>
        <v>1</v>
      </c>
      <c r="AB9" s="209">
        <v>1</v>
      </c>
      <c r="AC9" s="209">
        <v>1</v>
      </c>
      <c r="AD9" s="209">
        <v>1</v>
      </c>
      <c r="AE9" s="188"/>
      <c r="AF9" s="151"/>
      <c r="AG9" s="151"/>
      <c r="AH9" s="145"/>
    </row>
    <row r="10" spans="1:34" ht="15">
      <c r="A10" s="202" t="s">
        <v>74</v>
      </c>
      <c r="B10" s="213">
        <v>600</v>
      </c>
      <c r="C10" s="213">
        <v>600</v>
      </c>
      <c r="D10" s="213">
        <v>600</v>
      </c>
      <c r="E10" s="213">
        <v>600</v>
      </c>
      <c r="F10" s="213">
        <v>600</v>
      </c>
      <c r="G10" s="213">
        <v>600</v>
      </c>
      <c r="H10" s="213">
        <v>600</v>
      </c>
      <c r="I10" s="213">
        <v>600</v>
      </c>
      <c r="J10" s="213">
        <v>600</v>
      </c>
      <c r="K10" s="213">
        <v>600</v>
      </c>
      <c r="L10" s="213">
        <v>600</v>
      </c>
      <c r="M10" s="213">
        <v>600</v>
      </c>
      <c r="N10" s="214">
        <f>SUM(B10:M10)</f>
        <v>7200</v>
      </c>
      <c r="O10" s="213">
        <v>650</v>
      </c>
      <c r="P10" s="213">
        <v>650</v>
      </c>
      <c r="Q10" s="213">
        <v>650</v>
      </c>
      <c r="R10" s="213">
        <v>650</v>
      </c>
      <c r="S10" s="213">
        <v>650</v>
      </c>
      <c r="T10" s="213">
        <v>650</v>
      </c>
      <c r="U10" s="213">
        <v>650</v>
      </c>
      <c r="V10" s="213">
        <v>650</v>
      </c>
      <c r="W10" s="213">
        <v>650</v>
      </c>
      <c r="X10" s="213">
        <v>650</v>
      </c>
      <c r="Y10" s="213">
        <v>650</v>
      </c>
      <c r="Z10" s="213">
        <v>650</v>
      </c>
      <c r="AA10" s="214">
        <f>SUM(O10:Z10)</f>
        <v>7800</v>
      </c>
      <c r="AB10" s="213">
        <v>8190</v>
      </c>
      <c r="AC10" s="213">
        <v>8600</v>
      </c>
      <c r="AD10" s="213">
        <v>9030</v>
      </c>
      <c r="AE10" s="188"/>
      <c r="AF10" s="151"/>
      <c r="AG10" s="151"/>
      <c r="AH10" s="145"/>
    </row>
    <row r="11" spans="1:34" ht="15">
      <c r="A11" s="299" t="s">
        <v>95</v>
      </c>
      <c r="B11" s="155">
        <f aca="true" t="shared" si="6" ref="B11:M11">B9*B10</f>
        <v>600</v>
      </c>
      <c r="C11" s="155">
        <f t="shared" si="6"/>
        <v>600</v>
      </c>
      <c r="D11" s="155">
        <f t="shared" si="6"/>
        <v>600</v>
      </c>
      <c r="E11" s="155">
        <f t="shared" si="6"/>
        <v>600</v>
      </c>
      <c r="F11" s="155">
        <f t="shared" si="6"/>
        <v>600</v>
      </c>
      <c r="G11" s="155">
        <f t="shared" si="6"/>
        <v>600</v>
      </c>
      <c r="H11" s="155">
        <f t="shared" si="6"/>
        <v>600</v>
      </c>
      <c r="I11" s="155">
        <f t="shared" si="6"/>
        <v>600</v>
      </c>
      <c r="J11" s="155">
        <f t="shared" si="6"/>
        <v>600</v>
      </c>
      <c r="K11" s="155">
        <f t="shared" si="6"/>
        <v>600</v>
      </c>
      <c r="L11" s="155">
        <f t="shared" si="6"/>
        <v>600</v>
      </c>
      <c r="M11" s="155">
        <f t="shared" si="6"/>
        <v>600</v>
      </c>
      <c r="N11" s="155">
        <f>SUM(B11:M11)</f>
        <v>7200</v>
      </c>
      <c r="O11" s="155">
        <f aca="true" t="shared" si="7" ref="O11:Z11">O9*O10</f>
        <v>650</v>
      </c>
      <c r="P11" s="155">
        <f t="shared" si="7"/>
        <v>650</v>
      </c>
      <c r="Q11" s="155">
        <f t="shared" si="7"/>
        <v>650</v>
      </c>
      <c r="R11" s="155">
        <f t="shared" si="7"/>
        <v>650</v>
      </c>
      <c r="S11" s="155">
        <f t="shared" si="7"/>
        <v>650</v>
      </c>
      <c r="T11" s="155">
        <f t="shared" si="7"/>
        <v>650</v>
      </c>
      <c r="U11" s="155">
        <f t="shared" si="7"/>
        <v>650</v>
      </c>
      <c r="V11" s="155">
        <f t="shared" si="7"/>
        <v>650</v>
      </c>
      <c r="W11" s="155">
        <f t="shared" si="7"/>
        <v>650</v>
      </c>
      <c r="X11" s="155">
        <f t="shared" si="7"/>
        <v>650</v>
      </c>
      <c r="Y11" s="155">
        <f t="shared" si="7"/>
        <v>650</v>
      </c>
      <c r="Z11" s="155">
        <f t="shared" si="7"/>
        <v>650</v>
      </c>
      <c r="AA11" s="155">
        <f>SUM(O11:Z11)</f>
        <v>7800</v>
      </c>
      <c r="AB11" s="155">
        <f>AB9*AB10</f>
        <v>8190</v>
      </c>
      <c r="AC11" s="155">
        <f>AC9*AC10</f>
        <v>8600</v>
      </c>
      <c r="AD11" s="155">
        <f>AD9*AD10</f>
        <v>9030</v>
      </c>
      <c r="AE11" s="188"/>
      <c r="AF11" s="153">
        <v>0</v>
      </c>
      <c r="AG11" s="151">
        <v>0</v>
      </c>
      <c r="AH11" s="145"/>
    </row>
    <row r="12" spans="1:34" ht="15">
      <c r="A12" s="196"/>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188"/>
      <c r="AF12" s="151"/>
      <c r="AG12" s="151"/>
      <c r="AH12" s="145"/>
    </row>
    <row r="13" spans="1:34" ht="15">
      <c r="A13" s="154" t="s">
        <v>232</v>
      </c>
      <c r="B13" s="155">
        <f aca="true" t="shared" si="8" ref="B13:M13">B11</f>
        <v>600</v>
      </c>
      <c r="C13" s="155">
        <f t="shared" si="8"/>
        <v>600</v>
      </c>
      <c r="D13" s="155">
        <f t="shared" si="8"/>
        <v>600</v>
      </c>
      <c r="E13" s="155">
        <f t="shared" si="8"/>
        <v>600</v>
      </c>
      <c r="F13" s="155">
        <f t="shared" si="8"/>
        <v>600</v>
      </c>
      <c r="G13" s="155">
        <f t="shared" si="8"/>
        <v>600</v>
      </c>
      <c r="H13" s="155">
        <f t="shared" si="8"/>
        <v>600</v>
      </c>
      <c r="I13" s="155">
        <f t="shared" si="8"/>
        <v>600</v>
      </c>
      <c r="J13" s="155">
        <f t="shared" si="8"/>
        <v>600</v>
      </c>
      <c r="K13" s="155">
        <f t="shared" si="8"/>
        <v>600</v>
      </c>
      <c r="L13" s="155">
        <f t="shared" si="8"/>
        <v>600</v>
      </c>
      <c r="M13" s="155">
        <f t="shared" si="8"/>
        <v>600</v>
      </c>
      <c r="N13" s="155">
        <f>SUM(B13:M13)</f>
        <v>7200</v>
      </c>
      <c r="O13" s="155">
        <f aca="true" t="shared" si="9" ref="O13:Z13">O11</f>
        <v>650</v>
      </c>
      <c r="P13" s="155">
        <f t="shared" si="9"/>
        <v>650</v>
      </c>
      <c r="Q13" s="155">
        <f t="shared" si="9"/>
        <v>650</v>
      </c>
      <c r="R13" s="155">
        <f t="shared" si="9"/>
        <v>650</v>
      </c>
      <c r="S13" s="155">
        <f t="shared" si="9"/>
        <v>650</v>
      </c>
      <c r="T13" s="155">
        <f t="shared" si="9"/>
        <v>650</v>
      </c>
      <c r="U13" s="155">
        <f t="shared" si="9"/>
        <v>650</v>
      </c>
      <c r="V13" s="155">
        <f t="shared" si="9"/>
        <v>650</v>
      </c>
      <c r="W13" s="155">
        <f t="shared" si="9"/>
        <v>650</v>
      </c>
      <c r="X13" s="155">
        <f t="shared" si="9"/>
        <v>650</v>
      </c>
      <c r="Y13" s="155">
        <f t="shared" si="9"/>
        <v>650</v>
      </c>
      <c r="Z13" s="155">
        <f t="shared" si="9"/>
        <v>650</v>
      </c>
      <c r="AA13" s="155">
        <f>SUM(O13:Z13)</f>
        <v>7800</v>
      </c>
      <c r="AB13" s="155">
        <f>AB11</f>
        <v>8190</v>
      </c>
      <c r="AC13" s="155">
        <f>AC11</f>
        <v>8600</v>
      </c>
      <c r="AD13" s="155">
        <f>AD11</f>
        <v>9030</v>
      </c>
      <c r="AE13" s="188"/>
      <c r="AF13" s="151"/>
      <c r="AG13" s="151"/>
      <c r="AH13" s="145"/>
    </row>
    <row r="14" spans="1:34" ht="15">
      <c r="A14" s="199"/>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51"/>
      <c r="AG14" s="151"/>
      <c r="AH14" s="145"/>
    </row>
    <row r="15" spans="1:34" ht="15">
      <c r="A15" s="202" t="s">
        <v>165</v>
      </c>
      <c r="B15" s="209">
        <v>2</v>
      </c>
      <c r="C15" s="209">
        <v>2</v>
      </c>
      <c r="D15" s="209">
        <v>2</v>
      </c>
      <c r="E15" s="209">
        <v>2</v>
      </c>
      <c r="F15" s="209">
        <v>2</v>
      </c>
      <c r="G15" s="209">
        <v>2</v>
      </c>
      <c r="H15" s="209">
        <v>2</v>
      </c>
      <c r="I15" s="209">
        <v>2</v>
      </c>
      <c r="J15" s="209">
        <v>2</v>
      </c>
      <c r="K15" s="209">
        <v>2</v>
      </c>
      <c r="L15" s="209">
        <v>2</v>
      </c>
      <c r="M15" s="209">
        <v>2</v>
      </c>
      <c r="N15" s="216">
        <f>SUM(B15:M15)/12</f>
        <v>2</v>
      </c>
      <c r="O15" s="209">
        <v>2</v>
      </c>
      <c r="P15" s="209">
        <v>2</v>
      </c>
      <c r="Q15" s="209">
        <v>2</v>
      </c>
      <c r="R15" s="209">
        <v>2</v>
      </c>
      <c r="S15" s="209">
        <v>2</v>
      </c>
      <c r="T15" s="209">
        <v>2</v>
      </c>
      <c r="U15" s="209">
        <v>2</v>
      </c>
      <c r="V15" s="209">
        <v>2</v>
      </c>
      <c r="W15" s="209">
        <v>2</v>
      </c>
      <c r="X15" s="209">
        <v>2</v>
      </c>
      <c r="Y15" s="209">
        <v>2</v>
      </c>
      <c r="Z15" s="209">
        <v>2</v>
      </c>
      <c r="AA15" s="216">
        <f>SUM(O15:Z15)/12</f>
        <v>2</v>
      </c>
      <c r="AB15" s="209">
        <v>2</v>
      </c>
      <c r="AC15" s="209">
        <v>3</v>
      </c>
      <c r="AD15" s="209">
        <v>4</v>
      </c>
      <c r="AE15" s="188"/>
      <c r="AF15" s="151"/>
      <c r="AG15" s="151"/>
      <c r="AH15" s="145"/>
    </row>
    <row r="16" spans="1:34" ht="15">
      <c r="A16" s="202" t="s">
        <v>74</v>
      </c>
      <c r="B16" s="213">
        <v>700</v>
      </c>
      <c r="C16" s="213">
        <v>700</v>
      </c>
      <c r="D16" s="213">
        <v>700</v>
      </c>
      <c r="E16" s="213">
        <v>700</v>
      </c>
      <c r="F16" s="213">
        <v>700</v>
      </c>
      <c r="G16" s="213">
        <v>700</v>
      </c>
      <c r="H16" s="213">
        <v>700</v>
      </c>
      <c r="I16" s="213">
        <v>700</v>
      </c>
      <c r="J16" s="213">
        <v>700</v>
      </c>
      <c r="K16" s="213">
        <v>700</v>
      </c>
      <c r="L16" s="213">
        <v>700</v>
      </c>
      <c r="M16" s="213">
        <v>700</v>
      </c>
      <c r="N16" s="214">
        <f>SUM(B16:M16)</f>
        <v>8400</v>
      </c>
      <c r="O16" s="213">
        <v>700</v>
      </c>
      <c r="P16" s="213">
        <v>700</v>
      </c>
      <c r="Q16" s="213">
        <v>700</v>
      </c>
      <c r="R16" s="213">
        <v>700</v>
      </c>
      <c r="S16" s="213">
        <v>700</v>
      </c>
      <c r="T16" s="213">
        <v>700</v>
      </c>
      <c r="U16" s="213">
        <v>700</v>
      </c>
      <c r="V16" s="213">
        <v>700</v>
      </c>
      <c r="W16" s="213">
        <v>700</v>
      </c>
      <c r="X16" s="213">
        <v>700</v>
      </c>
      <c r="Y16" s="213">
        <v>700</v>
      </c>
      <c r="Z16" s="213">
        <v>700</v>
      </c>
      <c r="AA16" s="214">
        <f>SUM(O16:Z16)</f>
        <v>8400</v>
      </c>
      <c r="AB16" s="213">
        <v>8820</v>
      </c>
      <c r="AC16" s="213">
        <v>9261</v>
      </c>
      <c r="AD16" s="213">
        <v>9724</v>
      </c>
      <c r="AE16" s="188"/>
      <c r="AF16" s="151"/>
      <c r="AG16" s="151"/>
      <c r="AH16" s="145"/>
    </row>
    <row r="17" spans="1:34" ht="15">
      <c r="A17" s="299" t="s">
        <v>161</v>
      </c>
      <c r="B17" s="155">
        <f aca="true" t="shared" si="10" ref="B17:M17">B15*B16</f>
        <v>1400</v>
      </c>
      <c r="C17" s="155">
        <f t="shared" si="10"/>
        <v>1400</v>
      </c>
      <c r="D17" s="155">
        <f t="shared" si="10"/>
        <v>1400</v>
      </c>
      <c r="E17" s="155">
        <f t="shared" si="10"/>
        <v>1400</v>
      </c>
      <c r="F17" s="155">
        <f t="shared" si="10"/>
        <v>1400</v>
      </c>
      <c r="G17" s="155">
        <f t="shared" si="10"/>
        <v>1400</v>
      </c>
      <c r="H17" s="155">
        <f t="shared" si="10"/>
        <v>1400</v>
      </c>
      <c r="I17" s="155">
        <f t="shared" si="10"/>
        <v>1400</v>
      </c>
      <c r="J17" s="155">
        <f t="shared" si="10"/>
        <v>1400</v>
      </c>
      <c r="K17" s="155">
        <f t="shared" si="10"/>
        <v>1400</v>
      </c>
      <c r="L17" s="155">
        <f t="shared" si="10"/>
        <v>1400</v>
      </c>
      <c r="M17" s="155">
        <f t="shared" si="10"/>
        <v>1400</v>
      </c>
      <c r="N17" s="155">
        <f>SUM(B17:M17)</f>
        <v>16800</v>
      </c>
      <c r="O17" s="155">
        <f aca="true" t="shared" si="11" ref="O17:Z17">O15*O16</f>
        <v>1400</v>
      </c>
      <c r="P17" s="155">
        <f t="shared" si="11"/>
        <v>1400</v>
      </c>
      <c r="Q17" s="155">
        <f t="shared" si="11"/>
        <v>1400</v>
      </c>
      <c r="R17" s="155">
        <f t="shared" si="11"/>
        <v>1400</v>
      </c>
      <c r="S17" s="155">
        <f t="shared" si="11"/>
        <v>1400</v>
      </c>
      <c r="T17" s="155">
        <f t="shared" si="11"/>
        <v>1400</v>
      </c>
      <c r="U17" s="155">
        <f t="shared" si="11"/>
        <v>1400</v>
      </c>
      <c r="V17" s="155">
        <f t="shared" si="11"/>
        <v>1400</v>
      </c>
      <c r="W17" s="155">
        <f t="shared" si="11"/>
        <v>1400</v>
      </c>
      <c r="X17" s="155">
        <f t="shared" si="11"/>
        <v>1400</v>
      </c>
      <c r="Y17" s="155">
        <f t="shared" si="11"/>
        <v>1400</v>
      </c>
      <c r="Z17" s="155">
        <f t="shared" si="11"/>
        <v>1400</v>
      </c>
      <c r="AA17" s="155">
        <f>SUM(O17:Z17)</f>
        <v>16800</v>
      </c>
      <c r="AB17" s="155">
        <f>AB15*AB16</f>
        <v>17640</v>
      </c>
      <c r="AC17" s="155">
        <f>AC15*AC16</f>
        <v>27783</v>
      </c>
      <c r="AD17" s="155">
        <f>AD15*AD16</f>
        <v>38896</v>
      </c>
      <c r="AE17" s="188"/>
      <c r="AF17" s="153">
        <v>0</v>
      </c>
      <c r="AG17" s="151">
        <v>0</v>
      </c>
      <c r="AH17" s="145"/>
    </row>
    <row r="18" spans="1:34" ht="15">
      <c r="A18" s="196"/>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188"/>
      <c r="AF18" s="151"/>
      <c r="AG18" s="151"/>
      <c r="AH18" s="145"/>
    </row>
    <row r="19" spans="1:34" ht="15">
      <c r="A19" s="154" t="s">
        <v>137</v>
      </c>
      <c r="B19" s="155">
        <f aca="true" t="shared" si="12" ref="B19:M19">B17</f>
        <v>1400</v>
      </c>
      <c r="C19" s="155">
        <f t="shared" si="12"/>
        <v>1400</v>
      </c>
      <c r="D19" s="155">
        <f t="shared" si="12"/>
        <v>1400</v>
      </c>
      <c r="E19" s="155">
        <f t="shared" si="12"/>
        <v>1400</v>
      </c>
      <c r="F19" s="155">
        <f t="shared" si="12"/>
        <v>1400</v>
      </c>
      <c r="G19" s="155">
        <f t="shared" si="12"/>
        <v>1400</v>
      </c>
      <c r="H19" s="155">
        <f t="shared" si="12"/>
        <v>1400</v>
      </c>
      <c r="I19" s="155">
        <f t="shared" si="12"/>
        <v>1400</v>
      </c>
      <c r="J19" s="155">
        <f t="shared" si="12"/>
        <v>1400</v>
      </c>
      <c r="K19" s="155">
        <f t="shared" si="12"/>
        <v>1400</v>
      </c>
      <c r="L19" s="155">
        <f t="shared" si="12"/>
        <v>1400</v>
      </c>
      <c r="M19" s="155">
        <f t="shared" si="12"/>
        <v>1400</v>
      </c>
      <c r="N19" s="155">
        <f>SUM(B19:M19)</f>
        <v>16800</v>
      </c>
      <c r="O19" s="155">
        <f aca="true" t="shared" si="13" ref="O19:Z19">O17</f>
        <v>1400</v>
      </c>
      <c r="P19" s="155">
        <f t="shared" si="13"/>
        <v>1400</v>
      </c>
      <c r="Q19" s="155">
        <f t="shared" si="13"/>
        <v>1400</v>
      </c>
      <c r="R19" s="155">
        <f t="shared" si="13"/>
        <v>1400</v>
      </c>
      <c r="S19" s="155">
        <f t="shared" si="13"/>
        <v>1400</v>
      </c>
      <c r="T19" s="155">
        <f t="shared" si="13"/>
        <v>1400</v>
      </c>
      <c r="U19" s="155">
        <f t="shared" si="13"/>
        <v>1400</v>
      </c>
      <c r="V19" s="155">
        <f t="shared" si="13"/>
        <v>1400</v>
      </c>
      <c r="W19" s="155">
        <f t="shared" si="13"/>
        <v>1400</v>
      </c>
      <c r="X19" s="155">
        <f t="shared" si="13"/>
        <v>1400</v>
      </c>
      <c r="Y19" s="155">
        <f t="shared" si="13"/>
        <v>1400</v>
      </c>
      <c r="Z19" s="155">
        <f t="shared" si="13"/>
        <v>1400</v>
      </c>
      <c r="AA19" s="155">
        <f>SUM(O19:Z19)</f>
        <v>16800</v>
      </c>
      <c r="AB19" s="155">
        <f>AB17</f>
        <v>17640</v>
      </c>
      <c r="AC19" s="155">
        <f>AC17</f>
        <v>27783</v>
      </c>
      <c r="AD19" s="155">
        <f>AD17</f>
        <v>38896</v>
      </c>
      <c r="AE19" s="188"/>
      <c r="AF19" s="151"/>
      <c r="AG19" s="151"/>
      <c r="AH19" s="145"/>
    </row>
    <row r="20" spans="1:34" ht="15">
      <c r="A20" s="199"/>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51"/>
      <c r="AG20" s="151"/>
      <c r="AH20" s="145"/>
    </row>
    <row r="21" spans="1:34" ht="15">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51"/>
      <c r="AG21" s="151"/>
      <c r="AH21" s="145"/>
    </row>
    <row r="22" spans="1:34" s="140" customFormat="1" ht="15">
      <c r="A22" s="162" t="s">
        <v>214</v>
      </c>
      <c r="B22" s="163">
        <f aca="true" t="shared" si="14" ref="B22:M22">B7+B13+B19</f>
        <v>2500</v>
      </c>
      <c r="C22" s="163">
        <f t="shared" si="14"/>
        <v>2500</v>
      </c>
      <c r="D22" s="163">
        <f t="shared" si="14"/>
        <v>2500</v>
      </c>
      <c r="E22" s="163">
        <f t="shared" si="14"/>
        <v>2500</v>
      </c>
      <c r="F22" s="163">
        <f t="shared" si="14"/>
        <v>2500</v>
      </c>
      <c r="G22" s="163">
        <f t="shared" si="14"/>
        <v>2500</v>
      </c>
      <c r="H22" s="163">
        <f t="shared" si="14"/>
        <v>2500</v>
      </c>
      <c r="I22" s="163">
        <f t="shared" si="14"/>
        <v>2500</v>
      </c>
      <c r="J22" s="163">
        <f t="shared" si="14"/>
        <v>2500</v>
      </c>
      <c r="K22" s="163">
        <f t="shared" si="14"/>
        <v>2500</v>
      </c>
      <c r="L22" s="163">
        <f t="shared" si="14"/>
        <v>2500</v>
      </c>
      <c r="M22" s="163">
        <f t="shared" si="14"/>
        <v>2500</v>
      </c>
      <c r="N22" s="163">
        <f>SUM(B22:M22)</f>
        <v>30000</v>
      </c>
      <c r="O22" s="163">
        <f aca="true" t="shared" si="15" ref="O22:Z22">O7+O13+O19</f>
        <v>2550</v>
      </c>
      <c r="P22" s="163">
        <f t="shared" si="15"/>
        <v>2550</v>
      </c>
      <c r="Q22" s="163">
        <f t="shared" si="15"/>
        <v>2550</v>
      </c>
      <c r="R22" s="163">
        <f t="shared" si="15"/>
        <v>2550</v>
      </c>
      <c r="S22" s="163">
        <f t="shared" si="15"/>
        <v>2550</v>
      </c>
      <c r="T22" s="163">
        <f t="shared" si="15"/>
        <v>2550</v>
      </c>
      <c r="U22" s="163">
        <f t="shared" si="15"/>
        <v>2550</v>
      </c>
      <c r="V22" s="163">
        <f t="shared" si="15"/>
        <v>2550</v>
      </c>
      <c r="W22" s="163">
        <f t="shared" si="15"/>
        <v>2550</v>
      </c>
      <c r="X22" s="163">
        <f t="shared" si="15"/>
        <v>2550</v>
      </c>
      <c r="Y22" s="163">
        <f t="shared" si="15"/>
        <v>2550</v>
      </c>
      <c r="Z22" s="163">
        <f t="shared" si="15"/>
        <v>2550</v>
      </c>
      <c r="AA22" s="163">
        <f>SUM(O22:Z22)</f>
        <v>30600</v>
      </c>
      <c r="AB22" s="163">
        <f>AB7+AB13+AB19</f>
        <v>32130</v>
      </c>
      <c r="AC22" s="163">
        <f>AC7+AC13+AC19</f>
        <v>42998</v>
      </c>
      <c r="AD22" s="163">
        <f>AD7+AD13+AD19</f>
        <v>54872</v>
      </c>
      <c r="AE22" s="215"/>
      <c r="AF22" s="151"/>
      <c r="AG22" s="151"/>
      <c r="AH22" s="164"/>
    </row>
    <row r="23" spans="1:34" ht="15">
      <c r="A23" s="199"/>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57"/>
      <c r="AG23" s="156"/>
      <c r="AH23" s="145"/>
    </row>
    <row r="24" spans="1:34" ht="15">
      <c r="A24" s="199"/>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57"/>
      <c r="AG24" s="156"/>
      <c r="AH24" s="145"/>
    </row>
    <row r="25" spans="1:34" ht="15">
      <c r="A25" s="199" t="s">
        <v>14</v>
      </c>
      <c r="B25" s="217">
        <f aca="true" t="shared" si="16" ref="B25:M25">B3</f>
        <v>1</v>
      </c>
      <c r="C25" s="217">
        <f t="shared" si="16"/>
        <v>1</v>
      </c>
      <c r="D25" s="217">
        <f t="shared" si="16"/>
        <v>1</v>
      </c>
      <c r="E25" s="217">
        <f t="shared" si="16"/>
        <v>1</v>
      </c>
      <c r="F25" s="217">
        <f t="shared" si="16"/>
        <v>1</v>
      </c>
      <c r="G25" s="217">
        <f t="shared" si="16"/>
        <v>1</v>
      </c>
      <c r="H25" s="217">
        <f t="shared" si="16"/>
        <v>1</v>
      </c>
      <c r="I25" s="217">
        <f t="shared" si="16"/>
        <v>1</v>
      </c>
      <c r="J25" s="217">
        <f t="shared" si="16"/>
        <v>1</v>
      </c>
      <c r="K25" s="217">
        <f t="shared" si="16"/>
        <v>1</v>
      </c>
      <c r="L25" s="217">
        <f t="shared" si="16"/>
        <v>1</v>
      </c>
      <c r="M25" s="217">
        <f t="shared" si="16"/>
        <v>1</v>
      </c>
      <c r="N25" s="217">
        <f>SUM(B25:M25)/12</f>
        <v>1</v>
      </c>
      <c r="O25" s="217">
        <f aca="true" t="shared" si="17" ref="O25:Z25">O3</f>
        <v>1</v>
      </c>
      <c r="P25" s="217">
        <f t="shared" si="17"/>
        <v>1</v>
      </c>
      <c r="Q25" s="217">
        <f t="shared" si="17"/>
        <v>1</v>
      </c>
      <c r="R25" s="217">
        <f t="shared" si="17"/>
        <v>1</v>
      </c>
      <c r="S25" s="217">
        <f t="shared" si="17"/>
        <v>1</v>
      </c>
      <c r="T25" s="217">
        <f t="shared" si="17"/>
        <v>1</v>
      </c>
      <c r="U25" s="217">
        <f t="shared" si="17"/>
        <v>1</v>
      </c>
      <c r="V25" s="217">
        <f t="shared" si="17"/>
        <v>1</v>
      </c>
      <c r="W25" s="217">
        <f t="shared" si="17"/>
        <v>1</v>
      </c>
      <c r="X25" s="217">
        <f t="shared" si="17"/>
        <v>1</v>
      </c>
      <c r="Y25" s="217">
        <f t="shared" si="17"/>
        <v>1</v>
      </c>
      <c r="Z25" s="217">
        <f t="shared" si="17"/>
        <v>1</v>
      </c>
      <c r="AA25" s="217">
        <f>SUM(O25:Z25)/12</f>
        <v>1</v>
      </c>
      <c r="AB25" s="217">
        <f>AB3</f>
        <v>1</v>
      </c>
      <c r="AC25" s="217">
        <f>AC3</f>
        <v>1</v>
      </c>
      <c r="AD25" s="217">
        <f>AD3</f>
        <v>1</v>
      </c>
      <c r="AE25" s="199"/>
      <c r="AF25" s="157"/>
      <c r="AG25" s="156"/>
      <c r="AH25" s="145"/>
    </row>
    <row r="26" spans="1:34" ht="15">
      <c r="A26" s="199" t="s">
        <v>84</v>
      </c>
      <c r="B26" s="217">
        <f aca="true" t="shared" si="18" ref="B26:M26">B9</f>
        <v>1</v>
      </c>
      <c r="C26" s="217">
        <f t="shared" si="18"/>
        <v>1</v>
      </c>
      <c r="D26" s="217">
        <f t="shared" si="18"/>
        <v>1</v>
      </c>
      <c r="E26" s="217">
        <f t="shared" si="18"/>
        <v>1</v>
      </c>
      <c r="F26" s="217">
        <f t="shared" si="18"/>
        <v>1</v>
      </c>
      <c r="G26" s="217">
        <f t="shared" si="18"/>
        <v>1</v>
      </c>
      <c r="H26" s="217">
        <f t="shared" si="18"/>
        <v>1</v>
      </c>
      <c r="I26" s="217">
        <f t="shared" si="18"/>
        <v>1</v>
      </c>
      <c r="J26" s="217">
        <f t="shared" si="18"/>
        <v>1</v>
      </c>
      <c r="K26" s="217">
        <f t="shared" si="18"/>
        <v>1</v>
      </c>
      <c r="L26" s="217">
        <f t="shared" si="18"/>
        <v>1</v>
      </c>
      <c r="M26" s="217">
        <f t="shared" si="18"/>
        <v>1</v>
      </c>
      <c r="N26" s="217">
        <f>SUM(B26:M26)/12</f>
        <v>1</v>
      </c>
      <c r="O26" s="217">
        <f aca="true" t="shared" si="19" ref="O26:Z26">O9</f>
        <v>1</v>
      </c>
      <c r="P26" s="217">
        <f t="shared" si="19"/>
        <v>1</v>
      </c>
      <c r="Q26" s="217">
        <f t="shared" si="19"/>
        <v>1</v>
      </c>
      <c r="R26" s="217">
        <f t="shared" si="19"/>
        <v>1</v>
      </c>
      <c r="S26" s="217">
        <f t="shared" si="19"/>
        <v>1</v>
      </c>
      <c r="T26" s="217">
        <f t="shared" si="19"/>
        <v>1</v>
      </c>
      <c r="U26" s="217">
        <f t="shared" si="19"/>
        <v>1</v>
      </c>
      <c r="V26" s="217">
        <f t="shared" si="19"/>
        <v>1</v>
      </c>
      <c r="W26" s="217">
        <f t="shared" si="19"/>
        <v>1</v>
      </c>
      <c r="X26" s="217">
        <f t="shared" si="19"/>
        <v>1</v>
      </c>
      <c r="Y26" s="217">
        <f t="shared" si="19"/>
        <v>1</v>
      </c>
      <c r="Z26" s="217">
        <f t="shared" si="19"/>
        <v>1</v>
      </c>
      <c r="AA26" s="217">
        <f>SUM(O26:Z26)/12</f>
        <v>1</v>
      </c>
      <c r="AB26" s="217">
        <f>AB9</f>
        <v>1</v>
      </c>
      <c r="AC26" s="217">
        <f>AC9</f>
        <v>1</v>
      </c>
      <c r="AD26" s="217">
        <f>AD9</f>
        <v>1</v>
      </c>
      <c r="AE26" s="199"/>
      <c r="AF26" s="157"/>
      <c r="AG26" s="156"/>
      <c r="AH26" s="145"/>
    </row>
    <row r="27" spans="1:34" ht="15">
      <c r="A27" s="199" t="s">
        <v>137</v>
      </c>
      <c r="B27" s="217">
        <f aca="true" t="shared" si="20" ref="B27:M27">B15</f>
        <v>2</v>
      </c>
      <c r="C27" s="217">
        <f t="shared" si="20"/>
        <v>2</v>
      </c>
      <c r="D27" s="217">
        <f t="shared" si="20"/>
        <v>2</v>
      </c>
      <c r="E27" s="217">
        <f t="shared" si="20"/>
        <v>2</v>
      </c>
      <c r="F27" s="217">
        <f t="shared" si="20"/>
        <v>2</v>
      </c>
      <c r="G27" s="217">
        <f t="shared" si="20"/>
        <v>2</v>
      </c>
      <c r="H27" s="217">
        <f t="shared" si="20"/>
        <v>2</v>
      </c>
      <c r="I27" s="217">
        <f t="shared" si="20"/>
        <v>2</v>
      </c>
      <c r="J27" s="217">
        <f t="shared" si="20"/>
        <v>2</v>
      </c>
      <c r="K27" s="217">
        <f t="shared" si="20"/>
        <v>2</v>
      </c>
      <c r="L27" s="217">
        <f t="shared" si="20"/>
        <v>2</v>
      </c>
      <c r="M27" s="217">
        <f t="shared" si="20"/>
        <v>2</v>
      </c>
      <c r="N27" s="217">
        <f>SUM(B27:M27)/12</f>
        <v>2</v>
      </c>
      <c r="O27" s="217">
        <f aca="true" t="shared" si="21" ref="O27:Z27">O15</f>
        <v>2</v>
      </c>
      <c r="P27" s="217">
        <f t="shared" si="21"/>
        <v>2</v>
      </c>
      <c r="Q27" s="217">
        <f t="shared" si="21"/>
        <v>2</v>
      </c>
      <c r="R27" s="217">
        <f t="shared" si="21"/>
        <v>2</v>
      </c>
      <c r="S27" s="217">
        <f t="shared" si="21"/>
        <v>2</v>
      </c>
      <c r="T27" s="217">
        <f t="shared" si="21"/>
        <v>2</v>
      </c>
      <c r="U27" s="217">
        <f t="shared" si="21"/>
        <v>2</v>
      </c>
      <c r="V27" s="217">
        <f t="shared" si="21"/>
        <v>2</v>
      </c>
      <c r="W27" s="217">
        <f t="shared" si="21"/>
        <v>2</v>
      </c>
      <c r="X27" s="217">
        <f t="shared" si="21"/>
        <v>2</v>
      </c>
      <c r="Y27" s="217">
        <f t="shared" si="21"/>
        <v>2</v>
      </c>
      <c r="Z27" s="217">
        <f t="shared" si="21"/>
        <v>2</v>
      </c>
      <c r="AA27" s="217">
        <f>SUM(O27:Z27)/12</f>
        <v>2</v>
      </c>
      <c r="AB27" s="217">
        <f>AB15</f>
        <v>2</v>
      </c>
      <c r="AC27" s="217">
        <f>AC15</f>
        <v>3</v>
      </c>
      <c r="AD27" s="217">
        <f>AD15</f>
        <v>4</v>
      </c>
      <c r="AE27" s="199"/>
      <c r="AF27" s="151"/>
      <c r="AG27" s="151"/>
      <c r="AH27" s="145"/>
    </row>
    <row r="28" spans="1:34" ht="15">
      <c r="A28" s="154" t="s">
        <v>25</v>
      </c>
      <c r="B28" s="218">
        <f aca="true" t="shared" si="22" ref="B28:M28">SUM(B23:B27)</f>
        <v>4</v>
      </c>
      <c r="C28" s="218">
        <f t="shared" si="22"/>
        <v>4</v>
      </c>
      <c r="D28" s="218">
        <f t="shared" si="22"/>
        <v>4</v>
      </c>
      <c r="E28" s="218">
        <f t="shared" si="22"/>
        <v>4</v>
      </c>
      <c r="F28" s="218">
        <f t="shared" si="22"/>
        <v>4</v>
      </c>
      <c r="G28" s="218">
        <f t="shared" si="22"/>
        <v>4</v>
      </c>
      <c r="H28" s="218">
        <f t="shared" si="22"/>
        <v>4</v>
      </c>
      <c r="I28" s="218">
        <f t="shared" si="22"/>
        <v>4</v>
      </c>
      <c r="J28" s="218">
        <f t="shared" si="22"/>
        <v>4</v>
      </c>
      <c r="K28" s="218">
        <f t="shared" si="22"/>
        <v>4</v>
      </c>
      <c r="L28" s="218">
        <f t="shared" si="22"/>
        <v>4</v>
      </c>
      <c r="M28" s="218">
        <f t="shared" si="22"/>
        <v>4</v>
      </c>
      <c r="N28" s="218">
        <f>SUM(B28:M28)/12</f>
        <v>4</v>
      </c>
      <c r="O28" s="218">
        <f aca="true" t="shared" si="23" ref="O28:Z28">SUM(O23:O27)</f>
        <v>4</v>
      </c>
      <c r="P28" s="218">
        <f t="shared" si="23"/>
        <v>4</v>
      </c>
      <c r="Q28" s="218">
        <f t="shared" si="23"/>
        <v>4</v>
      </c>
      <c r="R28" s="218">
        <f t="shared" si="23"/>
        <v>4</v>
      </c>
      <c r="S28" s="218">
        <f t="shared" si="23"/>
        <v>4</v>
      </c>
      <c r="T28" s="218">
        <f t="shared" si="23"/>
        <v>4</v>
      </c>
      <c r="U28" s="218">
        <f t="shared" si="23"/>
        <v>4</v>
      </c>
      <c r="V28" s="218">
        <f t="shared" si="23"/>
        <v>4</v>
      </c>
      <c r="W28" s="218">
        <f t="shared" si="23"/>
        <v>4</v>
      </c>
      <c r="X28" s="218">
        <f t="shared" si="23"/>
        <v>4</v>
      </c>
      <c r="Y28" s="218">
        <f t="shared" si="23"/>
        <v>4</v>
      </c>
      <c r="Z28" s="218">
        <f t="shared" si="23"/>
        <v>4</v>
      </c>
      <c r="AA28" s="218">
        <f>SUM(O28:Z28)/12</f>
        <v>4</v>
      </c>
      <c r="AB28" s="218">
        <f>SUM(AB23:AB27)</f>
        <v>4</v>
      </c>
      <c r="AC28" s="218">
        <f>SUM(AC23:AC27)</f>
        <v>5</v>
      </c>
      <c r="AD28" s="218">
        <f>SUM(AD23:AD27)</f>
        <v>6</v>
      </c>
      <c r="AE28" s="199"/>
      <c r="AF28" s="151"/>
      <c r="AG28" s="151"/>
      <c r="AH28" s="145"/>
    </row>
    <row r="29" spans="1:34" s="39" customFormat="1" ht="15">
      <c r="A29" s="210"/>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151"/>
      <c r="AG29" s="151"/>
      <c r="AH29" s="148"/>
    </row>
    <row r="30" spans="1:34" s="39" customFormat="1" ht="15">
      <c r="A30" s="210"/>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157"/>
      <c r="AG30" s="156"/>
      <c r="AH30" s="148"/>
    </row>
    <row r="31" spans="1:34" s="39" customFormat="1" ht="15" hidden="1">
      <c r="A31" s="210" t="s">
        <v>9</v>
      </c>
      <c r="B31" s="210">
        <f aca="true" t="shared" si="24" ref="B31:M31">B22-B32</f>
        <v>2500</v>
      </c>
      <c r="C31" s="210">
        <f t="shared" si="24"/>
        <v>2500</v>
      </c>
      <c r="D31" s="210">
        <f t="shared" si="24"/>
        <v>2500</v>
      </c>
      <c r="E31" s="210">
        <f t="shared" si="24"/>
        <v>2500</v>
      </c>
      <c r="F31" s="210">
        <f t="shared" si="24"/>
        <v>2500</v>
      </c>
      <c r="G31" s="210">
        <f t="shared" si="24"/>
        <v>2500</v>
      </c>
      <c r="H31" s="210">
        <f t="shared" si="24"/>
        <v>2500</v>
      </c>
      <c r="I31" s="210">
        <f t="shared" si="24"/>
        <v>2500</v>
      </c>
      <c r="J31" s="210">
        <f t="shared" si="24"/>
        <v>2500</v>
      </c>
      <c r="K31" s="210">
        <f t="shared" si="24"/>
        <v>2500</v>
      </c>
      <c r="L31" s="210">
        <f t="shared" si="24"/>
        <v>2500</v>
      </c>
      <c r="M31" s="210">
        <f t="shared" si="24"/>
        <v>2500</v>
      </c>
      <c r="N31" s="210"/>
      <c r="O31" s="210">
        <f aca="true" t="shared" si="25" ref="O31:Z31">O22-O32</f>
        <v>2550</v>
      </c>
      <c r="P31" s="210">
        <f t="shared" si="25"/>
        <v>2550</v>
      </c>
      <c r="Q31" s="210">
        <f t="shared" si="25"/>
        <v>2550</v>
      </c>
      <c r="R31" s="210">
        <f t="shared" si="25"/>
        <v>2550</v>
      </c>
      <c r="S31" s="210">
        <f t="shared" si="25"/>
        <v>2550</v>
      </c>
      <c r="T31" s="210">
        <f t="shared" si="25"/>
        <v>2550</v>
      </c>
      <c r="U31" s="210">
        <f t="shared" si="25"/>
        <v>2550</v>
      </c>
      <c r="V31" s="210">
        <f t="shared" si="25"/>
        <v>2550</v>
      </c>
      <c r="W31" s="210">
        <f t="shared" si="25"/>
        <v>2550</v>
      </c>
      <c r="X31" s="210">
        <f t="shared" si="25"/>
        <v>2550</v>
      </c>
      <c r="Y31" s="210">
        <f t="shared" si="25"/>
        <v>2550</v>
      </c>
      <c r="Z31" s="210">
        <f t="shared" si="25"/>
        <v>2550</v>
      </c>
      <c r="AA31" s="210"/>
      <c r="AB31" s="210">
        <f>AB22-AB32</f>
        <v>32130</v>
      </c>
      <c r="AC31" s="210">
        <f>AC22-AC32</f>
        <v>42998</v>
      </c>
      <c r="AD31" s="210">
        <f>AD22-AD32</f>
        <v>54872</v>
      </c>
      <c r="AE31" s="210"/>
      <c r="AF31" s="151"/>
      <c r="AG31" s="151"/>
      <c r="AH31" s="148"/>
    </row>
    <row r="32" spans="1:34" s="39" customFormat="1" ht="15" hidden="1">
      <c r="A32" s="210" t="s">
        <v>229</v>
      </c>
      <c r="B32" s="210">
        <f aca="true" t="shared" si="26" ref="B32:M32">SUMPRODUCT(B2:B22,$AF2:$AF22)</f>
        <v>0</v>
      </c>
      <c r="C32" s="210">
        <f t="shared" si="26"/>
        <v>0</v>
      </c>
      <c r="D32" s="210">
        <f t="shared" si="26"/>
        <v>0</v>
      </c>
      <c r="E32" s="210">
        <f t="shared" si="26"/>
        <v>0</v>
      </c>
      <c r="F32" s="210">
        <f t="shared" si="26"/>
        <v>0</v>
      </c>
      <c r="G32" s="210">
        <f t="shared" si="26"/>
        <v>0</v>
      </c>
      <c r="H32" s="210">
        <f t="shared" si="26"/>
        <v>0</v>
      </c>
      <c r="I32" s="210">
        <f t="shared" si="26"/>
        <v>0</v>
      </c>
      <c r="J32" s="210">
        <f t="shared" si="26"/>
        <v>0</v>
      </c>
      <c r="K32" s="210">
        <f t="shared" si="26"/>
        <v>0</v>
      </c>
      <c r="L32" s="210">
        <f t="shared" si="26"/>
        <v>0</v>
      </c>
      <c r="M32" s="210">
        <f t="shared" si="26"/>
        <v>0</v>
      </c>
      <c r="N32" s="210"/>
      <c r="O32" s="210">
        <f aca="true" t="shared" si="27" ref="O32:Z32">SUMPRODUCT(O2:O22,$AF2:$AF22)</f>
        <v>0</v>
      </c>
      <c r="P32" s="210">
        <f t="shared" si="27"/>
        <v>0</v>
      </c>
      <c r="Q32" s="210">
        <f t="shared" si="27"/>
        <v>0</v>
      </c>
      <c r="R32" s="210">
        <f t="shared" si="27"/>
        <v>0</v>
      </c>
      <c r="S32" s="210">
        <f t="shared" si="27"/>
        <v>0</v>
      </c>
      <c r="T32" s="210">
        <f t="shared" si="27"/>
        <v>0</v>
      </c>
      <c r="U32" s="210">
        <f t="shared" si="27"/>
        <v>0</v>
      </c>
      <c r="V32" s="210">
        <f t="shared" si="27"/>
        <v>0</v>
      </c>
      <c r="W32" s="210">
        <f t="shared" si="27"/>
        <v>0</v>
      </c>
      <c r="X32" s="210">
        <f t="shared" si="27"/>
        <v>0</v>
      </c>
      <c r="Y32" s="210">
        <f t="shared" si="27"/>
        <v>0</v>
      </c>
      <c r="Z32" s="210">
        <f t="shared" si="27"/>
        <v>0</v>
      </c>
      <c r="AA32" s="210"/>
      <c r="AB32" s="210">
        <f>SUMPRODUCT(AB2:AB22,$AF2:$AF22)</f>
        <v>0</v>
      </c>
      <c r="AC32" s="210">
        <f>SUMPRODUCT(AC2:AC22,$AF2:$AF22)</f>
        <v>0</v>
      </c>
      <c r="AD32" s="210">
        <f>SUMPRODUCT(AD2:AD22,$AF2:$AF22)</f>
        <v>0</v>
      </c>
      <c r="AE32" s="210"/>
      <c r="AF32" s="151"/>
      <c r="AG32" s="151"/>
      <c r="AH32" s="148"/>
    </row>
    <row r="33" spans="1:34" s="39" customFormat="1" ht="15" hidden="1">
      <c r="A33" s="210" t="s">
        <v>90</v>
      </c>
      <c r="B33" s="219">
        <f aca="true" t="shared" si="28" ref="B33:M33">IF(B32=0,0,SUMPRODUCT(B2:B22,$AF2:$AF22,$AG2:$AG22)/B32)</f>
        <v>0</v>
      </c>
      <c r="C33" s="219">
        <f t="shared" si="28"/>
        <v>0</v>
      </c>
      <c r="D33" s="219">
        <f t="shared" si="28"/>
        <v>0</v>
      </c>
      <c r="E33" s="219">
        <f t="shared" si="28"/>
        <v>0</v>
      </c>
      <c r="F33" s="219">
        <f t="shared" si="28"/>
        <v>0</v>
      </c>
      <c r="G33" s="219">
        <f t="shared" si="28"/>
        <v>0</v>
      </c>
      <c r="H33" s="219">
        <f t="shared" si="28"/>
        <v>0</v>
      </c>
      <c r="I33" s="219">
        <f t="shared" si="28"/>
        <v>0</v>
      </c>
      <c r="J33" s="219">
        <f t="shared" si="28"/>
        <v>0</v>
      </c>
      <c r="K33" s="219">
        <f t="shared" si="28"/>
        <v>0</v>
      </c>
      <c r="L33" s="219">
        <f t="shared" si="28"/>
        <v>0</v>
      </c>
      <c r="M33" s="219">
        <f t="shared" si="28"/>
        <v>0</v>
      </c>
      <c r="N33" s="210"/>
      <c r="O33" s="219">
        <f aca="true" t="shared" si="29" ref="O33:Z33">IF(O32=0,0,SUMPRODUCT(O2:O22,$AF2:$AF22,$AG2:$AG22)/O32)</f>
        <v>0</v>
      </c>
      <c r="P33" s="219">
        <f t="shared" si="29"/>
        <v>0</v>
      </c>
      <c r="Q33" s="219">
        <f t="shared" si="29"/>
        <v>0</v>
      </c>
      <c r="R33" s="219">
        <f t="shared" si="29"/>
        <v>0</v>
      </c>
      <c r="S33" s="219">
        <f t="shared" si="29"/>
        <v>0</v>
      </c>
      <c r="T33" s="219">
        <f t="shared" si="29"/>
        <v>0</v>
      </c>
      <c r="U33" s="219">
        <f t="shared" si="29"/>
        <v>0</v>
      </c>
      <c r="V33" s="219">
        <f t="shared" si="29"/>
        <v>0</v>
      </c>
      <c r="W33" s="219">
        <f t="shared" si="29"/>
        <v>0</v>
      </c>
      <c r="X33" s="219">
        <f t="shared" si="29"/>
        <v>0</v>
      </c>
      <c r="Y33" s="219">
        <f t="shared" si="29"/>
        <v>0</v>
      </c>
      <c r="Z33" s="219">
        <f t="shared" si="29"/>
        <v>0</v>
      </c>
      <c r="AA33" s="210"/>
      <c r="AB33" s="219">
        <f>IF(AB32=0,0,SUMPRODUCT(AB2:AB22,$AF2:$AF22,$AG2:$AG22)/AB32)</f>
        <v>0</v>
      </c>
      <c r="AC33" s="219">
        <f>IF(AC32=0,0,SUMPRODUCT(AC2:AC22,$AF2:$AF22,$AG2:$AG22)/AC32)</f>
        <v>0</v>
      </c>
      <c r="AD33" s="219">
        <f>IF(AD32=0,0,SUMPRODUCT(AD2:AD22,$AF2:$AF22,$AG2:$AG22)/AD32)</f>
        <v>0</v>
      </c>
      <c r="AE33" s="210"/>
      <c r="AF33" s="151"/>
      <c r="AG33" s="151"/>
      <c r="AH33" s="148"/>
    </row>
    <row r="34" spans="1:34" ht="15">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51"/>
      <c r="AG34" s="151"/>
      <c r="AH34" s="145"/>
    </row>
    <row r="35" spans="1:34" ht="15">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51"/>
      <c r="AG35" s="151"/>
      <c r="AH35" s="145"/>
    </row>
    <row r="36" spans="1:34" ht="12.75">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57"/>
      <c r="AG36" s="156"/>
      <c r="AH36" s="145"/>
    </row>
    <row r="37" spans="1:34" ht="12.75">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51"/>
      <c r="AG37" s="151"/>
      <c r="AH37" s="145"/>
    </row>
    <row r="38" spans="1:34" ht="12.75">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51"/>
      <c r="AG38" s="151"/>
      <c r="AH38" s="145"/>
    </row>
    <row r="39" spans="1:34" ht="12.75">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51"/>
      <c r="AG39" s="151"/>
      <c r="AH39" s="145"/>
    </row>
    <row r="40" spans="32:33" ht="12.75">
      <c r="AF40" s="37"/>
      <c r="AG40" s="93"/>
    </row>
    <row r="46" spans="32:33" ht="12.75">
      <c r="AF46" s="37"/>
      <c r="AG46" s="93"/>
    </row>
    <row r="50" spans="32:33" ht="12.75">
      <c r="AF50" s="37"/>
      <c r="AG50" s="93"/>
    </row>
    <row r="55" spans="32:33" ht="12.75">
      <c r="AF55" s="139"/>
      <c r="AG55" s="139"/>
    </row>
    <row r="64" spans="32:33" ht="12.75">
      <c r="AF64" s="139"/>
      <c r="AG64" s="139"/>
    </row>
    <row r="65" spans="32:33" ht="12.75">
      <c r="AF65" s="139"/>
      <c r="AG65" s="139"/>
    </row>
  </sheetData>
  <sheetProtection/>
  <printOptions/>
  <pageMargins left="0.75" right="0.75" top="1" bottom="1" header="0.5" footer="0.5"/>
  <pageSetup fitToHeight="0" fitToWidth="0" horizontalDpi="300" verticalDpi="300"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AM46"/>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C24" sqref="AC24"/>
    </sheetView>
  </sheetViews>
  <sheetFormatPr defaultColWidth="11.710937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1" max="31" width="11.7109375" style="0" customWidth="1"/>
    <col min="32" max="32" width="17.57421875" style="0" customWidth="1"/>
    <col min="33" max="33" width="18.140625" style="0" customWidth="1"/>
    <col min="34" max="34" width="11.7109375" style="0" customWidth="1"/>
    <col min="35" max="35" width="11.7109375" style="112" hidden="1" customWidth="1"/>
    <col min="36" max="36" width="11.7109375" style="101" customWidth="1"/>
    <col min="37" max="38" width="11.7109375" style="101" hidden="1" customWidth="1"/>
  </cols>
  <sheetData>
    <row r="1" spans="1:39" ht="15.75" customHeight="1">
      <c r="A1" s="141" t="str">
        <f>"INVERSIONES ("&amp;Introducción!E17&amp;")"</f>
        <v>INVERSIONES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88"/>
      <c r="AH1" s="144"/>
      <c r="AI1" s="145" t="s">
        <v>149</v>
      </c>
      <c r="AJ1" s="145"/>
      <c r="AK1" s="145" t="s">
        <v>180</v>
      </c>
      <c r="AL1" s="145" t="s">
        <v>204</v>
      </c>
      <c r="AM1" s="145"/>
    </row>
    <row r="2" spans="1:39" ht="15">
      <c r="A2" s="199"/>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284"/>
      <c r="AG2" s="284"/>
      <c r="AH2" s="144"/>
      <c r="AI2" s="165"/>
      <c r="AJ2" s="151"/>
      <c r="AK2" s="151"/>
      <c r="AL2" s="151"/>
      <c r="AM2" s="145"/>
    </row>
    <row r="3" spans="1:39" ht="15">
      <c r="A3" s="202" t="s">
        <v>129</v>
      </c>
      <c r="B3" s="213">
        <v>2500</v>
      </c>
      <c r="C3" s="213">
        <v>0</v>
      </c>
      <c r="D3" s="213">
        <v>0</v>
      </c>
      <c r="E3" s="213">
        <v>0</v>
      </c>
      <c r="F3" s="213">
        <v>0</v>
      </c>
      <c r="G3" s="213">
        <v>0</v>
      </c>
      <c r="H3" s="213">
        <v>0</v>
      </c>
      <c r="I3" s="213">
        <v>0</v>
      </c>
      <c r="J3" s="213">
        <v>0</v>
      </c>
      <c r="K3" s="213">
        <v>0</v>
      </c>
      <c r="L3" s="213">
        <v>0</v>
      </c>
      <c r="M3" s="213">
        <v>0</v>
      </c>
      <c r="N3" s="214">
        <f>SUM(B3:M3)</f>
        <v>2500</v>
      </c>
      <c r="O3" s="213">
        <v>0</v>
      </c>
      <c r="P3" s="213">
        <v>0</v>
      </c>
      <c r="Q3" s="213">
        <v>0</v>
      </c>
      <c r="R3" s="213">
        <v>0</v>
      </c>
      <c r="S3" s="213">
        <v>0</v>
      </c>
      <c r="T3" s="213">
        <v>0</v>
      </c>
      <c r="U3" s="213">
        <v>0</v>
      </c>
      <c r="V3" s="213">
        <v>0</v>
      </c>
      <c r="W3" s="213">
        <v>0</v>
      </c>
      <c r="X3" s="213">
        <v>0</v>
      </c>
      <c r="Y3" s="213">
        <v>0</v>
      </c>
      <c r="Z3" s="213">
        <v>0</v>
      </c>
      <c r="AA3" s="214">
        <f>SUM(O3:Z3)</f>
        <v>0</v>
      </c>
      <c r="AB3" s="213">
        <v>0</v>
      </c>
      <c r="AC3" s="213">
        <v>0</v>
      </c>
      <c r="AD3" s="213">
        <v>0</v>
      </c>
      <c r="AE3" s="188"/>
      <c r="AF3" s="284"/>
      <c r="AG3" s="284"/>
      <c r="AH3" s="144"/>
      <c r="AI3" s="152">
        <v>0</v>
      </c>
      <c r="AJ3" s="151"/>
      <c r="AK3" s="153">
        <v>0</v>
      </c>
      <c r="AL3" s="151">
        <v>0</v>
      </c>
      <c r="AM3" s="145"/>
    </row>
    <row r="4" spans="1:39" ht="15">
      <c r="A4" s="202" t="s">
        <v>87</v>
      </c>
      <c r="B4" s="213">
        <v>6000</v>
      </c>
      <c r="C4" s="213">
        <v>0</v>
      </c>
      <c r="D4" s="213">
        <v>0</v>
      </c>
      <c r="E4" s="213">
        <v>0</v>
      </c>
      <c r="F4" s="213">
        <v>0</v>
      </c>
      <c r="G4" s="213">
        <v>0</v>
      </c>
      <c r="H4" s="213">
        <v>0</v>
      </c>
      <c r="I4" s="213">
        <v>0</v>
      </c>
      <c r="J4" s="213">
        <v>0</v>
      </c>
      <c r="K4" s="213">
        <v>0</v>
      </c>
      <c r="L4" s="213">
        <v>0</v>
      </c>
      <c r="M4" s="213">
        <v>0</v>
      </c>
      <c r="N4" s="214">
        <f>SUM(B4:M4)</f>
        <v>6000</v>
      </c>
      <c r="O4" s="213">
        <v>0</v>
      </c>
      <c r="P4" s="213">
        <v>0</v>
      </c>
      <c r="Q4" s="213">
        <v>0</v>
      </c>
      <c r="R4" s="213">
        <v>0</v>
      </c>
      <c r="S4" s="213">
        <v>0</v>
      </c>
      <c r="T4" s="213">
        <v>0</v>
      </c>
      <c r="U4" s="213">
        <v>0</v>
      </c>
      <c r="V4" s="213">
        <v>0</v>
      </c>
      <c r="W4" s="213">
        <v>0</v>
      </c>
      <c r="X4" s="213">
        <v>0</v>
      </c>
      <c r="Y4" s="213">
        <v>0</v>
      </c>
      <c r="Z4" s="213">
        <v>0</v>
      </c>
      <c r="AA4" s="214">
        <f>SUM(O4:Z4)</f>
        <v>0</v>
      </c>
      <c r="AB4" s="213">
        <v>0</v>
      </c>
      <c r="AC4" s="213">
        <v>0</v>
      </c>
      <c r="AD4" s="213">
        <v>0</v>
      </c>
      <c r="AE4" s="188"/>
      <c r="AF4" s="284"/>
      <c r="AG4" s="284"/>
      <c r="AH4" s="144"/>
      <c r="AI4" s="152">
        <v>0</v>
      </c>
      <c r="AJ4" s="151"/>
      <c r="AK4" s="153">
        <v>0</v>
      </c>
      <c r="AL4" s="151">
        <v>0</v>
      </c>
      <c r="AM4" s="145"/>
    </row>
    <row r="5" spans="1:39" ht="15">
      <c r="A5" s="154" t="s">
        <v>47</v>
      </c>
      <c r="B5" s="155">
        <f aca="true" t="shared" si="2" ref="B5:M5">SUM(B3:B4)</f>
        <v>8500</v>
      </c>
      <c r="C5" s="155">
        <f t="shared" si="2"/>
        <v>0</v>
      </c>
      <c r="D5" s="155">
        <f t="shared" si="2"/>
        <v>0</v>
      </c>
      <c r="E5" s="155">
        <f t="shared" si="2"/>
        <v>0</v>
      </c>
      <c r="F5" s="155">
        <f t="shared" si="2"/>
        <v>0</v>
      </c>
      <c r="G5" s="155">
        <f t="shared" si="2"/>
        <v>0</v>
      </c>
      <c r="H5" s="155">
        <f t="shared" si="2"/>
        <v>0</v>
      </c>
      <c r="I5" s="155">
        <f t="shared" si="2"/>
        <v>0</v>
      </c>
      <c r="J5" s="155">
        <f t="shared" si="2"/>
        <v>0</v>
      </c>
      <c r="K5" s="155">
        <f t="shared" si="2"/>
        <v>0</v>
      </c>
      <c r="L5" s="155">
        <f t="shared" si="2"/>
        <v>0</v>
      </c>
      <c r="M5" s="155">
        <f t="shared" si="2"/>
        <v>0</v>
      </c>
      <c r="N5" s="155">
        <f>SUM(B5:M5)</f>
        <v>8500</v>
      </c>
      <c r="O5" s="155">
        <f aca="true" t="shared" si="3" ref="O5:Z5">SUM(O3:O4)</f>
        <v>0</v>
      </c>
      <c r="P5" s="155">
        <f t="shared" si="3"/>
        <v>0</v>
      </c>
      <c r="Q5" s="155">
        <f t="shared" si="3"/>
        <v>0</v>
      </c>
      <c r="R5" s="155">
        <f t="shared" si="3"/>
        <v>0</v>
      </c>
      <c r="S5" s="155">
        <f t="shared" si="3"/>
        <v>0</v>
      </c>
      <c r="T5" s="155">
        <f t="shared" si="3"/>
        <v>0</v>
      </c>
      <c r="U5" s="155">
        <f t="shared" si="3"/>
        <v>0</v>
      </c>
      <c r="V5" s="155">
        <f t="shared" si="3"/>
        <v>0</v>
      </c>
      <c r="W5" s="155">
        <f t="shared" si="3"/>
        <v>0</v>
      </c>
      <c r="X5" s="155">
        <f t="shared" si="3"/>
        <v>0</v>
      </c>
      <c r="Y5" s="155">
        <f t="shared" si="3"/>
        <v>0</v>
      </c>
      <c r="Z5" s="155">
        <f t="shared" si="3"/>
        <v>0</v>
      </c>
      <c r="AA5" s="155">
        <f>SUM(O5:Z5)</f>
        <v>0</v>
      </c>
      <c r="AB5" s="155">
        <f>SUM(AB3:AB4)</f>
        <v>0</v>
      </c>
      <c r="AC5" s="155">
        <f>SUM(AC3:AC4)</f>
        <v>0</v>
      </c>
      <c r="AD5" s="155">
        <f>SUM(AD3:AD4)</f>
        <v>0</v>
      </c>
      <c r="AE5" s="188"/>
      <c r="AF5" s="284"/>
      <c r="AG5" s="284"/>
      <c r="AH5" s="144"/>
      <c r="AI5" s="165"/>
      <c r="AJ5" s="151"/>
      <c r="AK5" s="151"/>
      <c r="AL5" s="151"/>
      <c r="AM5" s="145"/>
    </row>
    <row r="6" spans="1:39" ht="15">
      <c r="A6" s="199"/>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284"/>
      <c r="AG6" s="284"/>
      <c r="AH6" s="144"/>
      <c r="AI6" s="165"/>
      <c r="AJ6" s="151"/>
      <c r="AK6" s="151"/>
      <c r="AL6" s="151"/>
      <c r="AM6" s="145"/>
    </row>
    <row r="7" spans="1:39" ht="15">
      <c r="A7" s="202" t="s">
        <v>115</v>
      </c>
      <c r="B7" s="213">
        <v>13000</v>
      </c>
      <c r="C7" s="213">
        <v>0</v>
      </c>
      <c r="D7" s="213">
        <v>0</v>
      </c>
      <c r="E7" s="213">
        <v>0</v>
      </c>
      <c r="F7" s="213">
        <v>0</v>
      </c>
      <c r="G7" s="213">
        <v>0</v>
      </c>
      <c r="H7" s="213">
        <v>0</v>
      </c>
      <c r="I7" s="213">
        <v>0</v>
      </c>
      <c r="J7" s="213">
        <v>0</v>
      </c>
      <c r="K7" s="213">
        <v>0</v>
      </c>
      <c r="L7" s="213">
        <v>0</v>
      </c>
      <c r="M7" s="213">
        <v>0</v>
      </c>
      <c r="N7" s="214">
        <f>SUM(B7:M7)</f>
        <v>13000</v>
      </c>
      <c r="O7" s="213">
        <v>4000</v>
      </c>
      <c r="P7" s="213">
        <v>0</v>
      </c>
      <c r="Q7" s="213">
        <v>0</v>
      </c>
      <c r="R7" s="213">
        <v>0</v>
      </c>
      <c r="S7" s="213">
        <v>0</v>
      </c>
      <c r="T7" s="213">
        <v>0</v>
      </c>
      <c r="U7" s="213">
        <v>0</v>
      </c>
      <c r="V7" s="213">
        <v>0</v>
      </c>
      <c r="W7" s="213">
        <v>0</v>
      </c>
      <c r="X7" s="213">
        <v>0</v>
      </c>
      <c r="Y7" s="213">
        <v>0</v>
      </c>
      <c r="Z7" s="213">
        <v>0</v>
      </c>
      <c r="AA7" s="214">
        <f>SUM(O7:Z7)</f>
        <v>4000</v>
      </c>
      <c r="AB7" s="213">
        <v>4000</v>
      </c>
      <c r="AC7" s="213">
        <v>0</v>
      </c>
      <c r="AD7" s="213">
        <v>0</v>
      </c>
      <c r="AE7" s="188"/>
      <c r="AF7" s="284"/>
      <c r="AG7" s="284"/>
      <c r="AH7" s="144"/>
      <c r="AI7" s="152">
        <v>0</v>
      </c>
      <c r="AJ7" s="151"/>
      <c r="AK7" s="153">
        <v>0</v>
      </c>
      <c r="AL7" s="151">
        <v>0</v>
      </c>
      <c r="AM7" s="145"/>
    </row>
    <row r="8" spans="1:39" ht="15">
      <c r="A8" s="202" t="s">
        <v>30</v>
      </c>
      <c r="B8" s="213">
        <v>4000</v>
      </c>
      <c r="C8" s="213">
        <v>0</v>
      </c>
      <c r="D8" s="213">
        <v>0</v>
      </c>
      <c r="E8" s="213">
        <v>0</v>
      </c>
      <c r="F8" s="213">
        <v>0</v>
      </c>
      <c r="G8" s="213">
        <v>0</v>
      </c>
      <c r="H8" s="213">
        <v>0</v>
      </c>
      <c r="I8" s="213">
        <v>0</v>
      </c>
      <c r="J8" s="213">
        <v>0</v>
      </c>
      <c r="K8" s="213">
        <v>0</v>
      </c>
      <c r="L8" s="213">
        <v>0</v>
      </c>
      <c r="M8" s="213">
        <v>0</v>
      </c>
      <c r="N8" s="214">
        <f>SUM(B8:M8)</f>
        <v>4000</v>
      </c>
      <c r="O8" s="213">
        <v>3000</v>
      </c>
      <c r="P8" s="213">
        <v>0</v>
      </c>
      <c r="Q8" s="213">
        <v>0</v>
      </c>
      <c r="R8" s="213">
        <v>0</v>
      </c>
      <c r="S8" s="213">
        <v>0</v>
      </c>
      <c r="T8" s="213">
        <v>0</v>
      </c>
      <c r="U8" s="213">
        <v>0</v>
      </c>
      <c r="V8" s="213">
        <v>0</v>
      </c>
      <c r="W8" s="213">
        <v>0</v>
      </c>
      <c r="X8" s="213">
        <v>0</v>
      </c>
      <c r="Y8" s="213">
        <v>0</v>
      </c>
      <c r="Z8" s="213">
        <v>0</v>
      </c>
      <c r="AA8" s="214">
        <f>SUM(O8:Z8)</f>
        <v>3000</v>
      </c>
      <c r="AB8" s="213">
        <v>3000</v>
      </c>
      <c r="AC8" s="213">
        <v>0</v>
      </c>
      <c r="AD8" s="213">
        <v>0</v>
      </c>
      <c r="AE8" s="188"/>
      <c r="AF8" s="284"/>
      <c r="AG8" s="284"/>
      <c r="AH8" s="144"/>
      <c r="AI8" s="152">
        <v>0</v>
      </c>
      <c r="AJ8" s="151"/>
      <c r="AK8" s="153">
        <v>0</v>
      </c>
      <c r="AL8" s="151">
        <v>0</v>
      </c>
      <c r="AM8" s="145"/>
    </row>
    <row r="9" spans="1:39" ht="15">
      <c r="A9" s="154" t="s">
        <v>31</v>
      </c>
      <c r="B9" s="155">
        <f aca="true" t="shared" si="4" ref="B9:M9">SUM(B7:B8)</f>
        <v>17000</v>
      </c>
      <c r="C9" s="155">
        <f t="shared" si="4"/>
        <v>0</v>
      </c>
      <c r="D9" s="155">
        <f t="shared" si="4"/>
        <v>0</v>
      </c>
      <c r="E9" s="155">
        <f t="shared" si="4"/>
        <v>0</v>
      </c>
      <c r="F9" s="155">
        <f t="shared" si="4"/>
        <v>0</v>
      </c>
      <c r="G9" s="155">
        <f t="shared" si="4"/>
        <v>0</v>
      </c>
      <c r="H9" s="155">
        <f t="shared" si="4"/>
        <v>0</v>
      </c>
      <c r="I9" s="155">
        <f t="shared" si="4"/>
        <v>0</v>
      </c>
      <c r="J9" s="155">
        <f t="shared" si="4"/>
        <v>0</v>
      </c>
      <c r="K9" s="155">
        <f t="shared" si="4"/>
        <v>0</v>
      </c>
      <c r="L9" s="155">
        <f t="shared" si="4"/>
        <v>0</v>
      </c>
      <c r="M9" s="155">
        <f t="shared" si="4"/>
        <v>0</v>
      </c>
      <c r="N9" s="155">
        <f>SUM(B9:M9)</f>
        <v>17000</v>
      </c>
      <c r="O9" s="155">
        <f aca="true" t="shared" si="5" ref="O9:Z9">SUM(O7:O8)</f>
        <v>7000</v>
      </c>
      <c r="P9" s="155">
        <f t="shared" si="5"/>
        <v>0</v>
      </c>
      <c r="Q9" s="155">
        <f t="shared" si="5"/>
        <v>0</v>
      </c>
      <c r="R9" s="155">
        <f t="shared" si="5"/>
        <v>0</v>
      </c>
      <c r="S9" s="155">
        <f t="shared" si="5"/>
        <v>0</v>
      </c>
      <c r="T9" s="155">
        <f t="shared" si="5"/>
        <v>0</v>
      </c>
      <c r="U9" s="155">
        <f t="shared" si="5"/>
        <v>0</v>
      </c>
      <c r="V9" s="155">
        <f t="shared" si="5"/>
        <v>0</v>
      </c>
      <c r="W9" s="155">
        <f t="shared" si="5"/>
        <v>0</v>
      </c>
      <c r="X9" s="155">
        <f t="shared" si="5"/>
        <v>0</v>
      </c>
      <c r="Y9" s="155">
        <f t="shared" si="5"/>
        <v>0</v>
      </c>
      <c r="Z9" s="155">
        <f t="shared" si="5"/>
        <v>0</v>
      </c>
      <c r="AA9" s="155">
        <f>SUM(O9:Z9)</f>
        <v>7000</v>
      </c>
      <c r="AB9" s="155">
        <f>SUM(AB7:AB8)</f>
        <v>7000</v>
      </c>
      <c r="AC9" s="155">
        <f>SUM(AC7:AC8)</f>
        <v>0</v>
      </c>
      <c r="AD9" s="155">
        <f>SUM(AD7:AD8)</f>
        <v>0</v>
      </c>
      <c r="AE9" s="188"/>
      <c r="AF9" s="284"/>
      <c r="AG9" s="284"/>
      <c r="AH9" s="144"/>
      <c r="AI9" s="165"/>
      <c r="AJ9" s="151"/>
      <c r="AK9" s="151"/>
      <c r="AL9" s="151"/>
      <c r="AM9" s="145"/>
    </row>
    <row r="10" spans="1:39" ht="15">
      <c r="A10" s="199"/>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284"/>
      <c r="AG10" s="284"/>
      <c r="AH10" s="144"/>
      <c r="AI10" s="165"/>
      <c r="AJ10" s="151"/>
      <c r="AK10" s="151"/>
      <c r="AL10" s="151"/>
      <c r="AM10" s="145"/>
    </row>
    <row r="11" spans="1:39" ht="15">
      <c r="A11" s="162" t="s">
        <v>208</v>
      </c>
      <c r="B11" s="163">
        <f aca="true" t="shared" si="6" ref="B11:M11">B5+B9</f>
        <v>25500</v>
      </c>
      <c r="C11" s="163">
        <f t="shared" si="6"/>
        <v>0</v>
      </c>
      <c r="D11" s="163">
        <f t="shared" si="6"/>
        <v>0</v>
      </c>
      <c r="E11" s="163">
        <f t="shared" si="6"/>
        <v>0</v>
      </c>
      <c r="F11" s="163">
        <f t="shared" si="6"/>
        <v>0</v>
      </c>
      <c r="G11" s="163">
        <f t="shared" si="6"/>
        <v>0</v>
      </c>
      <c r="H11" s="163">
        <f t="shared" si="6"/>
        <v>0</v>
      </c>
      <c r="I11" s="163">
        <f t="shared" si="6"/>
        <v>0</v>
      </c>
      <c r="J11" s="163">
        <f t="shared" si="6"/>
        <v>0</v>
      </c>
      <c r="K11" s="163">
        <f t="shared" si="6"/>
        <v>0</v>
      </c>
      <c r="L11" s="163">
        <f t="shared" si="6"/>
        <v>0</v>
      </c>
      <c r="M11" s="163">
        <f t="shared" si="6"/>
        <v>0</v>
      </c>
      <c r="N11" s="163">
        <f>SUM(B11:M11)</f>
        <v>25500</v>
      </c>
      <c r="O11" s="163">
        <f aca="true" t="shared" si="7" ref="O11:Z11">O5+O9</f>
        <v>7000</v>
      </c>
      <c r="P11" s="163">
        <f t="shared" si="7"/>
        <v>0</v>
      </c>
      <c r="Q11" s="163">
        <f t="shared" si="7"/>
        <v>0</v>
      </c>
      <c r="R11" s="163">
        <f t="shared" si="7"/>
        <v>0</v>
      </c>
      <c r="S11" s="163">
        <f t="shared" si="7"/>
        <v>0</v>
      </c>
      <c r="T11" s="163">
        <f t="shared" si="7"/>
        <v>0</v>
      </c>
      <c r="U11" s="163">
        <f t="shared" si="7"/>
        <v>0</v>
      </c>
      <c r="V11" s="163">
        <f t="shared" si="7"/>
        <v>0</v>
      </c>
      <c r="W11" s="163">
        <f t="shared" si="7"/>
        <v>0</v>
      </c>
      <c r="X11" s="163">
        <f t="shared" si="7"/>
        <v>0</v>
      </c>
      <c r="Y11" s="163">
        <f t="shared" si="7"/>
        <v>0</v>
      </c>
      <c r="Z11" s="163">
        <f t="shared" si="7"/>
        <v>0</v>
      </c>
      <c r="AA11" s="163">
        <f>SUM(O11:Z11)</f>
        <v>7000</v>
      </c>
      <c r="AB11" s="163">
        <f>AB5+AB9</f>
        <v>7000</v>
      </c>
      <c r="AC11" s="163">
        <f>AC5+AC9</f>
        <v>0</v>
      </c>
      <c r="AD11" s="163">
        <f>AD5+AD9</f>
        <v>0</v>
      </c>
      <c r="AE11" s="199"/>
      <c r="AF11" s="284"/>
      <c r="AG11" s="284"/>
      <c r="AH11" s="145"/>
      <c r="AI11" s="165"/>
      <c r="AJ11" s="151"/>
      <c r="AK11" s="157"/>
      <c r="AL11" s="156"/>
      <c r="AM11" s="145"/>
    </row>
    <row r="12" spans="1:39" ht="15">
      <c r="A12" s="199"/>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284"/>
      <c r="AG12" s="284"/>
      <c r="AH12" s="145"/>
      <c r="AI12" s="165"/>
      <c r="AJ12" s="151"/>
      <c r="AK12" s="157"/>
      <c r="AL12" s="156"/>
      <c r="AM12" s="145"/>
    </row>
    <row r="13" spans="1:39" ht="15">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284"/>
      <c r="AG13" s="284"/>
      <c r="AH13" s="145"/>
      <c r="AI13" s="165"/>
      <c r="AJ13" s="151"/>
      <c r="AK13" s="157"/>
      <c r="AL13" s="156"/>
      <c r="AM13" s="145"/>
    </row>
    <row r="14" spans="1:39" ht="15">
      <c r="A14" s="286" t="s">
        <v>236</v>
      </c>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199"/>
      <c r="AH14" s="145"/>
      <c r="AI14" s="165"/>
      <c r="AJ14" s="151"/>
      <c r="AK14" s="157"/>
      <c r="AL14" s="156"/>
      <c r="AM14" s="145"/>
    </row>
    <row r="15" spans="1:39" ht="15">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H15" s="145"/>
      <c r="AI15" s="165"/>
      <c r="AJ15" s="151"/>
      <c r="AK15" s="151"/>
      <c r="AL15" s="151"/>
      <c r="AM15" s="145"/>
    </row>
    <row r="16" spans="1:39" s="279" customFormat="1" ht="15">
      <c r="A16" s="196" t="str">
        <f>+A3</f>
        <v>Mobiliario de oficina</v>
      </c>
      <c r="B16" s="278">
        <f>SUM(B3:B3)*(1-AD38)/AC38/12</f>
        <v>15.625</v>
      </c>
      <c r="C16" s="278">
        <f>IF(SUM(B16:B16)&gt;=SUM(B3:C3)*(1-AD38),0,MIN(SUM(B3:C3)*(1-AD38)/AC38/12,SUM(B3:C3)*(1-AD38)-SUM(B16:B16)))</f>
        <v>15.625</v>
      </c>
      <c r="D16" s="278">
        <f>IF(SUM(B16:C16)&gt;=SUM(B3:D3)*(1-AD38),0,MIN(SUM(B3:D3)*(1-AD38)/AC38/12,SUM(B3:D3)*(1-AD38)-SUM(B16:C16)))</f>
        <v>15.625</v>
      </c>
      <c r="E16" s="278">
        <f>IF(SUM(B16:D16)&gt;=SUM(B3:E3)*(1-AD38),0,MIN(SUM(B3:E3)*(1-AD38)/AC38/12,SUM(B3:E3)*(1-AD38)-SUM(B16:D16)))</f>
        <v>15.625</v>
      </c>
      <c r="F16" s="278">
        <f>IF(SUM(B16:E16)&gt;=SUM(B3:F3)*(1-AD38),0,MIN(SUM(B3:F3)*(1-AD38)/AC38/12,SUM(B3:F3)*(1-AD38)-SUM(B16:E16)))</f>
        <v>15.625</v>
      </c>
      <c r="G16" s="278">
        <f>IF(SUM(B16:F16)&gt;=SUM(B3:G3)*(1-AD38),0,MIN(SUM(B3:G3)*(1-AD38)/AC38/12,SUM(B3:G3)*(1-AD38)-SUM(B16:F16)))</f>
        <v>15.625</v>
      </c>
      <c r="H16" s="278">
        <f>IF(SUM(B16:G16)&gt;=SUM(B3:H3)*(1-AD38),0,MIN(SUM(B3:H3)*(1-AD38)/AC38/12,SUM(B3:H3)*(1-AD38)-SUM(B16:G16)))</f>
        <v>15.625</v>
      </c>
      <c r="I16" s="278">
        <f>IF(SUM(B16:H16)&gt;=SUM(B3:I3)*(1-AD38),0,MIN(SUM(B3:I3)*(1-AD38)/AC38/12,SUM(B3:I3)*(1-AD38)-SUM(B16:H16)))</f>
        <v>15.625</v>
      </c>
      <c r="J16" s="278">
        <f>IF(SUM(B16:I16)&gt;=SUM(B3:J3)*(1-AD38),0,MIN(SUM(B3:J3)*(1-AD38)/AC38/12,SUM(B3:J3)*(1-AD38)-SUM(B16:I16)))</f>
        <v>15.625</v>
      </c>
      <c r="K16" s="278">
        <f>IF(SUM(B16:J16)&gt;=SUM(B3:K3)*(1-AD38),0,MIN(SUM(B3:K3)*(1-AD38)/AC38/12,SUM(B3:K3)*(1-AD38)-SUM(B16:J16)))</f>
        <v>15.625</v>
      </c>
      <c r="L16" s="278">
        <f>IF(SUM(B16:K16)&gt;=SUM(B3:L3)*(1-AD38),0,MIN(SUM(B3:L3)*(1-AD38)/AC38/12,SUM(B3:L3)*(1-AD38)-SUM(B16:K16)))</f>
        <v>15.625</v>
      </c>
      <c r="M16" s="278">
        <f>IF(SUM(B16:L16)&gt;=SUM(B3:M3)*(1-AD38),0,MIN(SUM(B3:M3)*(1-AD38)/AC38/12,SUM(B3:M3)*(1-AD38)-SUM(B16:L16)))</f>
        <v>15.625</v>
      </c>
      <c r="N16" s="278">
        <f>SUM(B16:M16)</f>
        <v>187.5</v>
      </c>
      <c r="O16" s="278">
        <f>IF(SUM(N16:N16)&gt;=SUM(N3:O3)*(1-AD38),0,MIN(SUM(N3:O3)*(1-AD38)/AC38/12,SUM(N3:O3)*(1-AD38)-SUM(N16:N16)))</f>
        <v>15.625</v>
      </c>
      <c r="P16" s="278">
        <f>IF(SUM(N16:O16)&gt;=SUM(N3:P3)*(1-AD38),0,MIN(SUM(N3:P3)*(1-AD38)/AC38/12,SUM(N3:P3)*(1-AD38)-SUM(N16:O16)))</f>
        <v>15.625</v>
      </c>
      <c r="Q16" s="278">
        <f>IF(SUM(N16:P16)&gt;=SUM(N3:Q3)*(1-AD38),0,MIN(SUM(N3:Q3)*(1-AD38)/AC38/12,SUM(N3:Q3)*(1-AD38)-SUM(N16:P16)))</f>
        <v>15.625</v>
      </c>
      <c r="R16" s="278">
        <f>IF(SUM(N16:Q16)&gt;=SUM(N3:R3)*(1-AD38),0,MIN(SUM(N3:R3)*(1-AD38)/AC38/12,SUM(N3:R3)*(1-AD38)-SUM(N16:Q16)))</f>
        <v>15.625</v>
      </c>
      <c r="S16" s="278">
        <f>IF(SUM(N16:R16)&gt;=SUM(N3:S3)*(1-AD38),0,MIN(SUM(N3:S3)*(1-AD38)/AC38/12,SUM(N3:S3)*(1-AD38)-SUM(N16:R16)))</f>
        <v>15.625</v>
      </c>
      <c r="T16" s="278">
        <f>IF(SUM(N16:S16)&gt;=SUM(N3:T3)*(1-AD38),0,MIN(SUM(N3:T3)*(1-AD38)/AC38/12,SUM(N3:T3)*(1-AD38)-SUM(N16:S16)))</f>
        <v>15.625</v>
      </c>
      <c r="U16" s="278">
        <f>IF(SUM(N16:T16)&gt;=SUM(N3:U3)*(1-AD38),0,MIN(SUM(N3:U3)*(1-AD38)/AC38/12,SUM(N3:U3)*(1-AD38)-SUM(N16:T16)))</f>
        <v>15.625</v>
      </c>
      <c r="V16" s="278">
        <f>IF(SUM(N16:U16)&gt;=SUM(N3:V3)*(1-AD38),0,MIN(SUM(N3:V3)*(1-AD38)/AC38/12,SUM(N3:V3)*(1-AD38)-SUM(N16:U16)))</f>
        <v>15.625</v>
      </c>
      <c r="W16" s="278">
        <f>IF(SUM(N16:V16)&gt;=SUM(N3:W3)*(1-AD38),0,MIN(SUM(N3:W3)*(1-AD38)/AC38/12,SUM(N3:W3)*(1-AD38)-SUM(N16:V16)))</f>
        <v>15.625</v>
      </c>
      <c r="X16" s="278">
        <f>IF(SUM(N16:W16)&gt;=SUM(N3:X3)*(1-AD38),0,MIN(SUM(N3:X3)*(1-AD38)/AC38/12,SUM(N3:X3)*(1-AD38)-SUM(N16:W16)))</f>
        <v>15.625</v>
      </c>
      <c r="Y16" s="278">
        <f>IF(SUM(N16:X16)&gt;=SUM(N3:Y3)*(1-AD38),0,MIN(SUM(N3:Y3)*(1-AD38)/AC38/12,SUM(N3:Y3)*(1-AD38)-SUM(N16:X16)))</f>
        <v>15.625</v>
      </c>
      <c r="Z16" s="278">
        <f>IF(SUM(N16:Y16)&gt;=SUM(N3:Z3)*(1-AD38),0,MIN(SUM(N3:Z3)*(1-AD38)/AC38/12,SUM(N3:Z3)*(1-AD38)-SUM(N16:Y16)))</f>
        <v>15.625</v>
      </c>
      <c r="AA16" s="278">
        <f>SUM(O16:Z16)</f>
        <v>187.5</v>
      </c>
      <c r="AB16" s="278">
        <f>IF(N16+SUM(AA16:AA16)&gt;=(N3+SUM(AA3:AB3))*(1-AD38),0,MIN((N3+SUM(AA3:AB3))*(1-AD38)/AC38,(N3+SUM(AA3:AB3))*(1-AD38)-N16-SUM(AA16:AA16)))</f>
        <v>187.5</v>
      </c>
      <c r="AC16" s="278">
        <f>IF(N16+SUM(AA16:AB16)&gt;=(N3+SUM(AA3:AC3))*(1-AD38),0,MIN((N3+SUM(AA3:AC3))*(1-AD38)/AC38,(N3+SUM(AA3:AC3))*(1-AD38)-N16-SUM(AA16:AB16)))</f>
        <v>187.5</v>
      </c>
      <c r="AD16" s="278">
        <f>IF(N16+SUM(AA16:AC16)&gt;=(N3+SUM(AA3:AD3))*(1-AD38),0,MIN((N3+SUM(AA3:AD3))*(1-AD38)/AC38,(N3+SUM(AA3:AD3))*(1-AD38)-N16-SUM(AA16:AC16)))</f>
        <v>187.5</v>
      </c>
      <c r="AE16" s="199"/>
      <c r="AH16" s="145"/>
      <c r="AI16" s="165"/>
      <c r="AJ16" s="151"/>
      <c r="AK16" s="151"/>
      <c r="AL16" s="151"/>
      <c r="AM16" s="145"/>
    </row>
    <row r="17" spans="1:39" s="279" customFormat="1" ht="15">
      <c r="A17" s="196" t="str">
        <f>+A4</f>
        <v>Equipo de cómputo</v>
      </c>
      <c r="B17" s="278">
        <f>SUM(B4:B4)*(1-AD39)/AC39/12</f>
        <v>45</v>
      </c>
      <c r="C17" s="278">
        <f>IF(SUM(B17:B17)&gt;=SUM(B4:C4)*(1-AD39),0,MIN(SUM(B4:C4)*(1-AD39)/AC39/12,SUM(B4:C4)*(1-AD39)-SUM(B17:B17)))</f>
        <v>45</v>
      </c>
      <c r="D17" s="278">
        <f>IF(SUM(B17:C17)&gt;=SUM(B4:D4)*(1-AD39),0,MIN(SUM(B4:D4)*(1-AD39)/AC39/12,SUM(B4:D4)*(1-AD39)-SUM(B17:C17)))</f>
        <v>45</v>
      </c>
      <c r="E17" s="278">
        <f>IF(SUM(B17:D17)&gt;=SUM(B4:E4)*(1-AD39),0,MIN(SUM(B4:E4)*(1-AD39)/AC39/12,SUM(B4:E4)*(1-AD39)-SUM(B17:D17)))</f>
        <v>45</v>
      </c>
      <c r="F17" s="278">
        <f>IF(SUM(B17:E17)&gt;=SUM(B4:F4)*(1-AD39),0,MIN(SUM(B4:F4)*(1-AD39)/AC39/12,SUM(B4:F4)*(1-AD39)-SUM(B17:E17)))</f>
        <v>45</v>
      </c>
      <c r="G17" s="278">
        <f>IF(SUM(B17:F17)&gt;=SUM(B4:G4)*(1-AD39),0,MIN(SUM(B4:G4)*(1-AD39)/AC39/12,SUM(B4:G4)*(1-AD39)-SUM(B17:F17)))</f>
        <v>45</v>
      </c>
      <c r="H17" s="278">
        <f>IF(SUM(B17:G17)&gt;=SUM(B4:H4)*(1-AD39),0,MIN(SUM(B4:H4)*(1-AD39)/AC39/12,SUM(B4:H4)*(1-AD39)-SUM(B17:G17)))</f>
        <v>45</v>
      </c>
      <c r="I17" s="278">
        <f>IF(SUM(B17:H17)&gt;=SUM(B4:I4)*(1-AD39),0,MIN(SUM(B4:I4)*(1-AD39)/AC39/12,SUM(B4:I4)*(1-AD39)-SUM(B17:H17)))</f>
        <v>45</v>
      </c>
      <c r="J17" s="278">
        <f>IF(SUM(B17:I17)&gt;=SUM(B4:J4)*(1-AD39),0,MIN(SUM(B4:J4)*(1-AD39)/AC39/12,SUM(B4:J4)*(1-AD39)-SUM(B17:I17)))</f>
        <v>45</v>
      </c>
      <c r="K17" s="278">
        <f>IF(SUM(B17:J17)&gt;=SUM(B4:K4)*(1-AD39),0,MIN(SUM(B4:K4)*(1-AD39)/AC39/12,SUM(B4:K4)*(1-AD39)-SUM(B17:J17)))</f>
        <v>45</v>
      </c>
      <c r="L17" s="278">
        <f>IF(SUM(B17:K17)&gt;=SUM(B4:L4)*(1-AD39),0,MIN(SUM(B4:L4)*(1-AD39)/AC39/12,SUM(B4:L4)*(1-AD39)-SUM(B17:K17)))</f>
        <v>45</v>
      </c>
      <c r="M17" s="278">
        <f>IF(SUM(B17:L17)&gt;=SUM(B4:M4)*(1-AD39),0,MIN(SUM(B4:M4)*(1-AD39)/AC39/12,SUM(B4:M4)*(1-AD39)-SUM(B17:L17)))</f>
        <v>45</v>
      </c>
      <c r="N17" s="278">
        <f>SUM(B17:M17)</f>
        <v>540</v>
      </c>
      <c r="O17" s="278">
        <f>IF(SUM(N17:N17)&gt;=SUM(N4:O4)*(1-AD39),0,MIN(SUM(N4:O4)*(1-AD39)/AC39/12,SUM(N4:O4)*(1-AD39)-SUM(N17:N17)))</f>
        <v>45</v>
      </c>
      <c r="P17" s="278">
        <f>IF(SUM(N17:O17)&gt;=SUM(N4:P4)*(1-AD39),0,MIN(SUM(N4:P4)*(1-AD39)/AC39/12,SUM(N4:P4)*(1-AD39)-SUM(N17:O17)))</f>
        <v>45</v>
      </c>
      <c r="Q17" s="278">
        <f>IF(SUM(N17:P17)&gt;=SUM(N4:Q4)*(1-AD39),0,MIN(SUM(N4:Q4)*(1-AD39)/AC39/12,SUM(N4:Q4)*(1-AD39)-SUM(N17:P17)))</f>
        <v>45</v>
      </c>
      <c r="R17" s="278">
        <f>IF(SUM(N17:Q17)&gt;=SUM(N4:R4)*(1-AD39),0,MIN(SUM(N4:R4)*(1-AD39)/AC39/12,SUM(N4:R4)*(1-AD39)-SUM(N17:Q17)))</f>
        <v>45</v>
      </c>
      <c r="S17" s="278">
        <f>IF(SUM(N17:R17)&gt;=SUM(N4:S4)*(1-AD39),0,MIN(SUM(N4:S4)*(1-AD39)/AC39/12,SUM(N4:S4)*(1-AD39)-SUM(N17:R17)))</f>
        <v>45</v>
      </c>
      <c r="T17" s="278">
        <f>IF(SUM(N17:S17)&gt;=SUM(N4:T4)*(1-AD39),0,MIN(SUM(N4:T4)*(1-AD39)/AC39/12,SUM(N4:T4)*(1-AD39)-SUM(N17:S17)))</f>
        <v>45</v>
      </c>
      <c r="U17" s="278">
        <f>IF(SUM(N17:T17)&gt;=SUM(N4:U4)*(1-AD39),0,MIN(SUM(N4:U4)*(1-AD39)/AC39/12,SUM(N4:U4)*(1-AD39)-SUM(N17:T17)))</f>
        <v>45</v>
      </c>
      <c r="V17" s="278">
        <f>IF(SUM(N17:U17)&gt;=SUM(N4:V4)*(1-AD39),0,MIN(SUM(N4:V4)*(1-AD39)/AC39/12,SUM(N4:V4)*(1-AD39)-SUM(N17:U17)))</f>
        <v>45</v>
      </c>
      <c r="W17" s="278">
        <f>IF(SUM(N17:V17)&gt;=SUM(N4:W4)*(1-AD39),0,MIN(SUM(N4:W4)*(1-AD39)/AC39/12,SUM(N4:W4)*(1-AD39)-SUM(N17:V17)))</f>
        <v>45</v>
      </c>
      <c r="X17" s="278">
        <f>IF(SUM(N17:W17)&gt;=SUM(N4:X4)*(1-AD39),0,MIN(SUM(N4:X4)*(1-AD39)/AC39/12,SUM(N4:X4)*(1-AD39)-SUM(N17:W17)))</f>
        <v>45</v>
      </c>
      <c r="Y17" s="278">
        <f>IF(SUM(N17:X17)&gt;=SUM(N4:Y4)*(1-AD39),0,MIN(SUM(N4:Y4)*(1-AD39)/AC39/12,SUM(N4:Y4)*(1-AD39)-SUM(N17:X17)))</f>
        <v>45</v>
      </c>
      <c r="Z17" s="278">
        <f>IF(SUM(N17:Y17)&gt;=SUM(N4:Z4)*(1-AD39),0,MIN(SUM(N4:Z4)*(1-AD39)/AC39/12,SUM(N4:Z4)*(1-AD39)-SUM(N17:Y17)))</f>
        <v>45</v>
      </c>
      <c r="AA17" s="278">
        <f>SUM(O17:Z17)</f>
        <v>540</v>
      </c>
      <c r="AB17" s="278">
        <f>IF(N17+SUM(AA17:AA17)&gt;=(N4+SUM(AA4:AB4))*(1-AD39),0,MIN((N4+SUM(AA4:AB4))*(1-AD39)/AC39,(N4+SUM(AA4:AB4))*(1-AD39)-N17-SUM(AA17:AA17)))</f>
        <v>540</v>
      </c>
      <c r="AC17" s="278">
        <f>IF(N17+SUM(AA17:AB17)&gt;=(N4+SUM(AA4:AC4))*(1-AD39),0,MIN((N4+SUM(AA4:AC4))*(1-AD39)/AC39,(N4+SUM(AA4:AC4))*(1-AD39)-N17-SUM(AA17:AB17)))</f>
        <v>540</v>
      </c>
      <c r="AD17" s="278">
        <f>IF(N17+SUM(AA17:AC17)&gt;=(N4+SUM(AA4:AD4))*(1-AD39),0,MIN((N4+SUM(AA4:AD4))*(1-AD39)/AC39,(N4+SUM(AA4:AD4))*(1-AD39)-N17-SUM(AA17:AC17)))</f>
        <v>540</v>
      </c>
      <c r="AE17" s="199"/>
      <c r="AH17" s="145"/>
      <c r="AI17" s="165"/>
      <c r="AJ17" s="151"/>
      <c r="AK17" s="151"/>
      <c r="AL17" s="151"/>
      <c r="AM17" s="145"/>
    </row>
    <row r="18" spans="1:39" s="279" customFormat="1" ht="15">
      <c r="A18" s="280" t="str">
        <f>+A5</f>
        <v>Mobiliario y Equipo</v>
      </c>
      <c r="B18" s="281">
        <f aca="true" t="shared" si="8" ref="B18:M18">SUM(B16:B17)</f>
        <v>60.625</v>
      </c>
      <c r="C18" s="281">
        <f t="shared" si="8"/>
        <v>60.625</v>
      </c>
      <c r="D18" s="281">
        <f t="shared" si="8"/>
        <v>60.625</v>
      </c>
      <c r="E18" s="281">
        <f t="shared" si="8"/>
        <v>60.625</v>
      </c>
      <c r="F18" s="281">
        <f t="shared" si="8"/>
        <v>60.625</v>
      </c>
      <c r="G18" s="281">
        <f t="shared" si="8"/>
        <v>60.625</v>
      </c>
      <c r="H18" s="281">
        <f t="shared" si="8"/>
        <v>60.625</v>
      </c>
      <c r="I18" s="281">
        <f t="shared" si="8"/>
        <v>60.625</v>
      </c>
      <c r="J18" s="281">
        <f t="shared" si="8"/>
        <v>60.625</v>
      </c>
      <c r="K18" s="281">
        <f t="shared" si="8"/>
        <v>60.625</v>
      </c>
      <c r="L18" s="281">
        <f t="shared" si="8"/>
        <v>60.625</v>
      </c>
      <c r="M18" s="281">
        <f t="shared" si="8"/>
        <v>60.625</v>
      </c>
      <c r="N18" s="281">
        <f>SUM(B18:M18)</f>
        <v>727.5</v>
      </c>
      <c r="O18" s="281">
        <f aca="true" t="shared" si="9" ref="O18:Z18">SUM(O16:O17)</f>
        <v>60.625</v>
      </c>
      <c r="P18" s="281">
        <f t="shared" si="9"/>
        <v>60.625</v>
      </c>
      <c r="Q18" s="281">
        <f t="shared" si="9"/>
        <v>60.625</v>
      </c>
      <c r="R18" s="281">
        <f t="shared" si="9"/>
        <v>60.625</v>
      </c>
      <c r="S18" s="281">
        <f t="shared" si="9"/>
        <v>60.625</v>
      </c>
      <c r="T18" s="281">
        <f t="shared" si="9"/>
        <v>60.625</v>
      </c>
      <c r="U18" s="281">
        <f t="shared" si="9"/>
        <v>60.625</v>
      </c>
      <c r="V18" s="281">
        <f t="shared" si="9"/>
        <v>60.625</v>
      </c>
      <c r="W18" s="281">
        <f t="shared" si="9"/>
        <v>60.625</v>
      </c>
      <c r="X18" s="281">
        <f t="shared" si="9"/>
        <v>60.625</v>
      </c>
      <c r="Y18" s="281">
        <f t="shared" si="9"/>
        <v>60.625</v>
      </c>
      <c r="Z18" s="281">
        <f t="shared" si="9"/>
        <v>60.625</v>
      </c>
      <c r="AA18" s="281">
        <f>SUM(O18:Z18)</f>
        <v>727.5</v>
      </c>
      <c r="AB18" s="281">
        <f>SUM(AB16:AB17)</f>
        <v>727.5</v>
      </c>
      <c r="AC18" s="281">
        <f>SUM(AC16:AC17)</f>
        <v>727.5</v>
      </c>
      <c r="AD18" s="281">
        <f>SUM(AD16:AD17)</f>
        <v>727.5</v>
      </c>
      <c r="AE18" s="199"/>
      <c r="AH18" s="145"/>
      <c r="AI18" s="165"/>
      <c r="AJ18" s="151"/>
      <c r="AK18" s="151"/>
      <c r="AL18" s="151"/>
      <c r="AM18" s="145"/>
    </row>
    <row r="19" spans="1:39" s="279" customFormat="1" ht="15">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199"/>
      <c r="AH19" s="145"/>
      <c r="AI19" s="165"/>
      <c r="AJ19" s="151"/>
      <c r="AK19" s="151"/>
      <c r="AL19" s="151"/>
      <c r="AM19" s="145"/>
    </row>
    <row r="20" spans="1:39" s="279" customFormat="1" ht="15">
      <c r="A20" s="196" t="str">
        <f>+A7</f>
        <v>Máquina Y</v>
      </c>
      <c r="B20" s="278">
        <f>SUM(B7:B7)*(1-AD42)/AC42/12</f>
        <v>48.75</v>
      </c>
      <c r="C20" s="278">
        <f>IF(SUM(B20:B20)&gt;=SUM(B7:C7)*(1-AD42),0,MIN(SUM(B7:C7)*(1-AD42)/AC42/12,SUM(B7:C7)*(1-AD42)-SUM(B20:B20)))</f>
        <v>48.75</v>
      </c>
      <c r="D20" s="278">
        <f>IF(SUM(B20:C20)&gt;=SUM(B7:D7)*(1-AD42),0,MIN(SUM(B7:D7)*(1-AD42)/AC42/12,SUM(B7:D7)*(1-AD42)-SUM(B20:C20)))</f>
        <v>48.75</v>
      </c>
      <c r="E20" s="278">
        <f>IF(SUM(B20:D20)&gt;=SUM(B7:E7)*(1-AD42),0,MIN(SUM(B7:E7)*(1-AD42)/AC42/12,SUM(B7:E7)*(1-AD42)-SUM(B20:D20)))</f>
        <v>48.75</v>
      </c>
      <c r="F20" s="278">
        <f>IF(SUM(B20:E20)&gt;=SUM(B7:F7)*(1-AD42),0,MIN(SUM(B7:F7)*(1-AD42)/AC42/12,SUM(B7:F7)*(1-AD42)-SUM(B20:E20)))</f>
        <v>48.75</v>
      </c>
      <c r="G20" s="278">
        <f>IF(SUM(B20:F20)&gt;=SUM(B7:G7)*(1-AD42),0,MIN(SUM(B7:G7)*(1-AD42)/AC42/12,SUM(B7:G7)*(1-AD42)-SUM(B20:F20)))</f>
        <v>48.75</v>
      </c>
      <c r="H20" s="278">
        <f>IF(SUM(B20:G20)&gt;=SUM(B7:H7)*(1-AD42),0,MIN(SUM(B7:H7)*(1-AD42)/AC42/12,SUM(B7:H7)*(1-AD42)-SUM(B20:G20)))</f>
        <v>48.75</v>
      </c>
      <c r="I20" s="278">
        <f>IF(SUM(B20:H20)&gt;=SUM(B7:I7)*(1-AD42),0,MIN(SUM(B7:I7)*(1-AD42)/AC42/12,SUM(B7:I7)*(1-AD42)-SUM(B20:H20)))</f>
        <v>48.75</v>
      </c>
      <c r="J20" s="278">
        <f>IF(SUM(B20:I20)&gt;=SUM(B7:J7)*(1-AD42),0,MIN(SUM(B7:J7)*(1-AD42)/AC42/12,SUM(B7:J7)*(1-AD42)-SUM(B20:I20)))</f>
        <v>48.75</v>
      </c>
      <c r="K20" s="278">
        <f>IF(SUM(B20:J20)&gt;=SUM(B7:K7)*(1-AD42),0,MIN(SUM(B7:K7)*(1-AD42)/AC42/12,SUM(B7:K7)*(1-AD42)-SUM(B20:J20)))</f>
        <v>48.75</v>
      </c>
      <c r="L20" s="278">
        <f>IF(SUM(B20:K20)&gt;=SUM(B7:L7)*(1-AD42),0,MIN(SUM(B7:L7)*(1-AD42)/AC42/12,SUM(B7:L7)*(1-AD42)-SUM(B20:K20)))</f>
        <v>48.75</v>
      </c>
      <c r="M20" s="278">
        <f>IF(SUM(B20:L20)&gt;=SUM(B7:M7)*(1-AD42),0,MIN(SUM(B7:M7)*(1-AD42)/AC42/12,SUM(B7:M7)*(1-AD42)-SUM(B20:L20)))</f>
        <v>48.75</v>
      </c>
      <c r="N20" s="278">
        <f>SUM(B20:M20)</f>
        <v>585</v>
      </c>
      <c r="O20" s="278">
        <f>IF(SUM(N20:N20)&gt;=SUM(N7:O7)*(1-AD42),0,MIN(SUM(N7:O7)*(1-AD42)/AC42/12,SUM(N7:O7)*(1-AD42)-SUM(N20:N20)))</f>
        <v>63.75</v>
      </c>
      <c r="P20" s="278">
        <f>IF(SUM(N20:O20)&gt;=SUM(N7:P7)*(1-AD42),0,MIN(SUM(N7:P7)*(1-AD42)/AC42/12,SUM(N7:P7)*(1-AD42)-SUM(N20:O20)))</f>
        <v>63.75</v>
      </c>
      <c r="Q20" s="278">
        <f>IF(SUM(N20:P20)&gt;=SUM(N7:Q7)*(1-AD42),0,MIN(SUM(N7:Q7)*(1-AD42)/AC42/12,SUM(N7:Q7)*(1-AD42)-SUM(N20:P20)))</f>
        <v>63.75</v>
      </c>
      <c r="R20" s="278">
        <f>IF(SUM(N20:Q20)&gt;=SUM(N7:R7)*(1-AD42),0,MIN(SUM(N7:R7)*(1-AD42)/AC42/12,SUM(N7:R7)*(1-AD42)-SUM(N20:Q20)))</f>
        <v>63.75</v>
      </c>
      <c r="S20" s="278">
        <f>IF(SUM(N20:R20)&gt;=SUM(N7:S7)*(1-AD42),0,MIN(SUM(N7:S7)*(1-AD42)/AC42/12,SUM(N7:S7)*(1-AD42)-SUM(N20:R20)))</f>
        <v>63.75</v>
      </c>
      <c r="T20" s="278">
        <f>IF(SUM(N20:S20)&gt;=SUM(N7:T7)*(1-AD42),0,MIN(SUM(N7:T7)*(1-AD42)/AC42/12,SUM(N7:T7)*(1-AD42)-SUM(N20:S20)))</f>
        <v>63.75</v>
      </c>
      <c r="U20" s="278">
        <f>IF(SUM(N20:T20)&gt;=SUM(N7:U7)*(1-AD42),0,MIN(SUM(N7:U7)*(1-AD42)/AC42/12,SUM(N7:U7)*(1-AD42)-SUM(N20:T20)))</f>
        <v>63.75</v>
      </c>
      <c r="V20" s="278">
        <f>IF(SUM(N20:U20)&gt;=SUM(N7:V7)*(1-AD42),0,MIN(SUM(N7:V7)*(1-AD42)/AC42/12,SUM(N7:V7)*(1-AD42)-SUM(N20:U20)))</f>
        <v>63.75</v>
      </c>
      <c r="W20" s="278">
        <f>IF(SUM(N20:V20)&gt;=SUM(N7:W7)*(1-AD42),0,MIN(SUM(N7:W7)*(1-AD42)/AC42/12,SUM(N7:W7)*(1-AD42)-SUM(N20:V20)))</f>
        <v>63.75</v>
      </c>
      <c r="X20" s="278">
        <f>IF(SUM(N20:W20)&gt;=SUM(N7:X7)*(1-AD42),0,MIN(SUM(N7:X7)*(1-AD42)/AC42/12,SUM(N7:X7)*(1-AD42)-SUM(N20:W20)))</f>
        <v>63.75</v>
      </c>
      <c r="Y20" s="278">
        <f>IF(SUM(N20:X20)&gt;=SUM(N7:Y7)*(1-AD42),0,MIN(SUM(N7:Y7)*(1-AD42)/AC42/12,SUM(N7:Y7)*(1-AD42)-SUM(N20:X20)))</f>
        <v>63.75</v>
      </c>
      <c r="Z20" s="278">
        <f>IF(SUM(N20:Y20)&gt;=SUM(N7:Z7)*(1-AD42),0,MIN(SUM(N7:Z7)*(1-AD42)/AC42/12,SUM(N7:Z7)*(1-AD42)-SUM(N20:Y20)))</f>
        <v>63.75</v>
      </c>
      <c r="AA20" s="278">
        <f>SUM(O20:Z20)</f>
        <v>765</v>
      </c>
      <c r="AB20" s="278">
        <f>IF(N20+SUM(AA20:AA20)&gt;=(N7+SUM(AA7:AB7))*(1-AD42),0,MIN((N7+SUM(AA7:AB7))*(1-AD42)/AC42,(N7+SUM(AA7:AB7))*(1-AD42)-N20-SUM(AA20:AA20)))</f>
        <v>945</v>
      </c>
      <c r="AC20" s="278">
        <f>IF(N20+SUM(AA20:AB20)&gt;=(N7+SUM(AA7:AC7))*(1-AD42),0,MIN((N7+SUM(AA7:AC7))*(1-AD42)/AC42,(N7+SUM(AA7:AC7))*(1-AD42)-N20-SUM(AA20:AB20)))</f>
        <v>945</v>
      </c>
      <c r="AD20" s="278">
        <f>IF(N20+SUM(AA20:AC20)&gt;=(N7+SUM(AA7:AD7))*(1-AD42),0,MIN((N7+SUM(AA7:AD7))*(1-AD42)/AC42,(N7+SUM(AA7:AD7))*(1-AD42)-N20-SUM(AA20:AC20)))</f>
        <v>945</v>
      </c>
      <c r="AE20" s="199"/>
      <c r="AH20" s="145"/>
      <c r="AI20" s="165"/>
      <c r="AJ20" s="151"/>
      <c r="AK20" s="151"/>
      <c r="AL20" s="151"/>
      <c r="AM20" s="145"/>
    </row>
    <row r="21" spans="1:39" s="279" customFormat="1" ht="15">
      <c r="A21" s="196" t="str">
        <f>+A8</f>
        <v>Máquina X</v>
      </c>
      <c r="B21" s="278">
        <f>SUM(B8:B8)*(1-AD43)/AC43/12</f>
        <v>18.88888888888889</v>
      </c>
      <c r="C21" s="278">
        <f>IF(SUM(B21:B21)&gt;=SUM(B8:C8)*(1-AD43),0,MIN(SUM(B8:C8)*(1-AD43)/AC43/12,SUM(B8:C8)*(1-AD43)-SUM(B21:B21)))</f>
        <v>18.88888888888889</v>
      </c>
      <c r="D21" s="278">
        <f>IF(SUM(B21:C21)&gt;=SUM(B8:D8)*(1-AD43),0,MIN(SUM(B8:D8)*(1-AD43)/AC43/12,SUM(B8:D8)*(1-AD43)-SUM(B21:C21)))</f>
        <v>18.88888888888889</v>
      </c>
      <c r="E21" s="278">
        <f>IF(SUM(B21:D21)&gt;=SUM(B8:E8)*(1-AD43),0,MIN(SUM(B8:E8)*(1-AD43)/AC43/12,SUM(B8:E8)*(1-AD43)-SUM(B21:D21)))</f>
        <v>18.88888888888889</v>
      </c>
      <c r="F21" s="278">
        <f>IF(SUM(B21:E21)&gt;=SUM(B8:F8)*(1-AD43),0,MIN(SUM(B8:F8)*(1-AD43)/AC43/12,SUM(B8:F8)*(1-AD43)-SUM(B21:E21)))</f>
        <v>18.88888888888889</v>
      </c>
      <c r="G21" s="278">
        <f>IF(SUM(B21:F21)&gt;=SUM(B8:G8)*(1-AD43),0,MIN(SUM(B8:G8)*(1-AD43)/AC43/12,SUM(B8:G8)*(1-AD43)-SUM(B21:F21)))</f>
        <v>18.88888888888889</v>
      </c>
      <c r="H21" s="278">
        <f>IF(SUM(B21:G21)&gt;=SUM(B8:H8)*(1-AD43),0,MIN(SUM(B8:H8)*(1-AD43)/AC43/12,SUM(B8:H8)*(1-AD43)-SUM(B21:G21)))</f>
        <v>18.88888888888889</v>
      </c>
      <c r="I21" s="278">
        <f>IF(SUM(B21:H21)&gt;=SUM(B8:I8)*(1-AD43),0,MIN(SUM(B8:I8)*(1-AD43)/AC43/12,SUM(B8:I8)*(1-AD43)-SUM(B21:H21)))</f>
        <v>18.88888888888889</v>
      </c>
      <c r="J21" s="278">
        <f>IF(SUM(B21:I21)&gt;=SUM(B8:J8)*(1-AD43),0,MIN(SUM(B8:J8)*(1-AD43)/AC43/12,SUM(B8:J8)*(1-AD43)-SUM(B21:I21)))</f>
        <v>18.88888888888889</v>
      </c>
      <c r="K21" s="278">
        <f>IF(SUM(B21:J21)&gt;=SUM(B8:K8)*(1-AD43),0,MIN(SUM(B8:K8)*(1-AD43)/AC43/12,SUM(B8:K8)*(1-AD43)-SUM(B21:J21)))</f>
        <v>18.88888888888889</v>
      </c>
      <c r="L21" s="278">
        <f>IF(SUM(B21:K21)&gt;=SUM(B8:L8)*(1-AD43),0,MIN(SUM(B8:L8)*(1-AD43)/AC43/12,SUM(B8:L8)*(1-AD43)-SUM(B21:K21)))</f>
        <v>18.88888888888889</v>
      </c>
      <c r="M21" s="278">
        <f>IF(SUM(B21:L21)&gt;=SUM(B8:M8)*(1-AD43),0,MIN(SUM(B8:M8)*(1-AD43)/AC43/12,SUM(B8:M8)*(1-AD43)-SUM(B21:L21)))</f>
        <v>18.88888888888889</v>
      </c>
      <c r="N21" s="278">
        <f>SUM(B21:M21)</f>
        <v>226.66666666666666</v>
      </c>
      <c r="O21" s="278">
        <f>IF(SUM(N21:N21)&gt;=SUM(N8:O8)*(1-AD43),0,MIN(SUM(N8:O8)*(1-AD43)/AC43/12,SUM(N8:O8)*(1-AD43)-SUM(N21:N21)))</f>
        <v>33.05555555555556</v>
      </c>
      <c r="P21" s="278">
        <f>IF(SUM(N21:O21)&gt;=SUM(N8:P8)*(1-AD43),0,MIN(SUM(N8:P8)*(1-AD43)/AC43/12,SUM(N8:P8)*(1-AD43)-SUM(N21:O21)))</f>
        <v>33.05555555555556</v>
      </c>
      <c r="Q21" s="278">
        <f>IF(SUM(N21:P21)&gt;=SUM(N8:Q8)*(1-AD43),0,MIN(SUM(N8:Q8)*(1-AD43)/AC43/12,SUM(N8:Q8)*(1-AD43)-SUM(N21:P21)))</f>
        <v>33.05555555555556</v>
      </c>
      <c r="R21" s="278">
        <f>IF(SUM(N21:Q21)&gt;=SUM(N8:R8)*(1-AD43),0,MIN(SUM(N8:R8)*(1-AD43)/AC43/12,SUM(N8:R8)*(1-AD43)-SUM(N21:Q21)))</f>
        <v>33.05555555555556</v>
      </c>
      <c r="S21" s="278">
        <f>IF(SUM(N21:R21)&gt;=SUM(N8:S8)*(1-AD43),0,MIN(SUM(N8:S8)*(1-AD43)/AC43/12,SUM(N8:S8)*(1-AD43)-SUM(N21:R21)))</f>
        <v>33.05555555555556</v>
      </c>
      <c r="T21" s="278">
        <f>IF(SUM(N21:S21)&gt;=SUM(N8:T8)*(1-AD43),0,MIN(SUM(N8:T8)*(1-AD43)/AC43/12,SUM(N8:T8)*(1-AD43)-SUM(N21:S21)))</f>
        <v>33.05555555555556</v>
      </c>
      <c r="U21" s="278">
        <f>IF(SUM(N21:T21)&gt;=SUM(N8:U8)*(1-AD43),0,MIN(SUM(N8:U8)*(1-AD43)/AC43/12,SUM(N8:U8)*(1-AD43)-SUM(N21:T21)))</f>
        <v>33.05555555555556</v>
      </c>
      <c r="V21" s="278">
        <f>IF(SUM(N21:U21)&gt;=SUM(N8:V8)*(1-AD43),0,MIN(SUM(N8:V8)*(1-AD43)/AC43/12,SUM(N8:V8)*(1-AD43)-SUM(N21:U21)))</f>
        <v>33.05555555555556</v>
      </c>
      <c r="W21" s="278">
        <f>IF(SUM(N21:V21)&gt;=SUM(N8:W8)*(1-AD43),0,MIN(SUM(N8:W8)*(1-AD43)/AC43/12,SUM(N8:W8)*(1-AD43)-SUM(N21:V21)))</f>
        <v>33.05555555555556</v>
      </c>
      <c r="X21" s="278">
        <f>IF(SUM(N21:W21)&gt;=SUM(N8:X8)*(1-AD43),0,MIN(SUM(N8:X8)*(1-AD43)/AC43/12,SUM(N8:X8)*(1-AD43)-SUM(N21:W21)))</f>
        <v>33.05555555555556</v>
      </c>
      <c r="Y21" s="278">
        <f>IF(SUM(N21:X21)&gt;=SUM(N8:Y8)*(1-AD43),0,MIN(SUM(N8:Y8)*(1-AD43)/AC43/12,SUM(N8:Y8)*(1-AD43)-SUM(N21:X21)))</f>
        <v>33.05555555555556</v>
      </c>
      <c r="Z21" s="278">
        <f>IF(SUM(N21:Y21)&gt;=SUM(N8:Z8)*(1-AD43),0,MIN(SUM(N8:Z8)*(1-AD43)/AC43/12,SUM(N8:Z8)*(1-AD43)-SUM(N21:Y21)))</f>
        <v>33.05555555555556</v>
      </c>
      <c r="AA21" s="278">
        <f>SUM(O21:Z21)</f>
        <v>396.6666666666666</v>
      </c>
      <c r="AB21" s="278">
        <f>IF(N21+SUM(AA21:AA21)&gt;=(N8+SUM(AA8:AB8))*(1-AD43),0,MIN((N8+SUM(AA8:AB8))*(1-AD43)/AC43,(N8+SUM(AA8:AB8))*(1-AD43)-N21-SUM(AA21:AA21)))</f>
        <v>566.6666666666666</v>
      </c>
      <c r="AC21" s="278">
        <f>IF(N21+SUM(AA21:AB21)&gt;=(N8+SUM(AA8:AC8))*(1-AD43),0,MIN((N8+SUM(AA8:AC8))*(1-AD43)/AC43,(N8+SUM(AA8:AC8))*(1-AD43)-N21-SUM(AA21:AB21)))</f>
        <v>566.6666666666666</v>
      </c>
      <c r="AD21" s="278">
        <f>IF(N21+SUM(AA21:AC21)&gt;=(N8+SUM(AA8:AD8))*(1-AD43),0,MIN((N8+SUM(AA8:AD8))*(1-AD43)/AC43,(N8+SUM(AA8:AD8))*(1-AD43)-N21-SUM(AA21:AC21)))</f>
        <v>566.6666666666666</v>
      </c>
      <c r="AE21" s="199"/>
      <c r="AH21" s="145"/>
      <c r="AI21" s="165"/>
      <c r="AJ21" s="151"/>
      <c r="AK21" s="151"/>
      <c r="AL21" s="151"/>
      <c r="AM21" s="145"/>
    </row>
    <row r="22" spans="1:39" ht="15">
      <c r="A22" s="154" t="str">
        <f>+A9</f>
        <v>Máquinas y herramientas</v>
      </c>
      <c r="B22" s="166">
        <f aca="true" t="shared" si="10" ref="B22:M22">SUM(B20:B21)</f>
        <v>67.63888888888889</v>
      </c>
      <c r="C22" s="166">
        <f t="shared" si="10"/>
        <v>67.63888888888889</v>
      </c>
      <c r="D22" s="166">
        <f t="shared" si="10"/>
        <v>67.63888888888889</v>
      </c>
      <c r="E22" s="166">
        <f t="shared" si="10"/>
        <v>67.63888888888889</v>
      </c>
      <c r="F22" s="166">
        <f t="shared" si="10"/>
        <v>67.63888888888889</v>
      </c>
      <c r="G22" s="166">
        <f t="shared" si="10"/>
        <v>67.63888888888889</v>
      </c>
      <c r="H22" s="166">
        <f t="shared" si="10"/>
        <v>67.63888888888889</v>
      </c>
      <c r="I22" s="166">
        <f t="shared" si="10"/>
        <v>67.63888888888889</v>
      </c>
      <c r="J22" s="166">
        <f t="shared" si="10"/>
        <v>67.63888888888889</v>
      </c>
      <c r="K22" s="166">
        <f t="shared" si="10"/>
        <v>67.63888888888889</v>
      </c>
      <c r="L22" s="166">
        <f t="shared" si="10"/>
        <v>67.63888888888889</v>
      </c>
      <c r="M22" s="166">
        <f t="shared" si="10"/>
        <v>67.63888888888889</v>
      </c>
      <c r="N22" s="166">
        <f>SUM(B22:M22)</f>
        <v>811.6666666666669</v>
      </c>
      <c r="O22" s="166">
        <f aca="true" t="shared" si="11" ref="O22:Z22">SUM(O20:O21)</f>
        <v>96.80555555555556</v>
      </c>
      <c r="P22" s="166">
        <f t="shared" si="11"/>
        <v>96.80555555555556</v>
      </c>
      <c r="Q22" s="166">
        <f t="shared" si="11"/>
        <v>96.80555555555556</v>
      </c>
      <c r="R22" s="166">
        <f t="shared" si="11"/>
        <v>96.80555555555556</v>
      </c>
      <c r="S22" s="166">
        <f t="shared" si="11"/>
        <v>96.80555555555556</v>
      </c>
      <c r="T22" s="166">
        <f t="shared" si="11"/>
        <v>96.80555555555556</v>
      </c>
      <c r="U22" s="166">
        <f t="shared" si="11"/>
        <v>96.80555555555556</v>
      </c>
      <c r="V22" s="166">
        <f t="shared" si="11"/>
        <v>96.80555555555556</v>
      </c>
      <c r="W22" s="166">
        <f t="shared" si="11"/>
        <v>96.80555555555556</v>
      </c>
      <c r="X22" s="166">
        <f t="shared" si="11"/>
        <v>96.80555555555556</v>
      </c>
      <c r="Y22" s="166">
        <f t="shared" si="11"/>
        <v>96.80555555555556</v>
      </c>
      <c r="Z22" s="166">
        <f t="shared" si="11"/>
        <v>96.80555555555556</v>
      </c>
      <c r="AA22" s="166">
        <f>SUM(O22:Z22)</f>
        <v>1161.6666666666667</v>
      </c>
      <c r="AB22" s="166">
        <f>SUM(AB20:AB21)</f>
        <v>1511.6666666666665</v>
      </c>
      <c r="AC22" s="166">
        <f>SUM(AC20:AC21)</f>
        <v>1511.6666666666665</v>
      </c>
      <c r="AD22" s="166">
        <f>SUM(AD20:AD21)</f>
        <v>1511.6666666666665</v>
      </c>
      <c r="AE22" s="199"/>
      <c r="AF22" s="145"/>
      <c r="AG22" s="167"/>
      <c r="AH22" s="145"/>
      <c r="AI22" s="165"/>
      <c r="AJ22" s="151"/>
      <c r="AK22" s="151"/>
      <c r="AL22" s="151"/>
      <c r="AM22" s="145"/>
    </row>
    <row r="23" spans="1:39" ht="15">
      <c r="A23" s="220"/>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199"/>
      <c r="AF23" s="145"/>
      <c r="AG23" s="167"/>
      <c r="AH23" s="145"/>
      <c r="AI23" s="165"/>
      <c r="AJ23" s="151"/>
      <c r="AK23" s="151"/>
      <c r="AL23" s="151"/>
      <c r="AM23" s="145"/>
    </row>
    <row r="24" spans="1:39" ht="15">
      <c r="A24" s="162" t="s">
        <v>77</v>
      </c>
      <c r="B24" s="163">
        <f aca="true" t="shared" si="12" ref="B24:M24">B18+B22</f>
        <v>128.26388888888889</v>
      </c>
      <c r="C24" s="163">
        <f t="shared" si="12"/>
        <v>128.26388888888889</v>
      </c>
      <c r="D24" s="163">
        <f t="shared" si="12"/>
        <v>128.26388888888889</v>
      </c>
      <c r="E24" s="163">
        <f t="shared" si="12"/>
        <v>128.26388888888889</v>
      </c>
      <c r="F24" s="163">
        <f t="shared" si="12"/>
        <v>128.26388888888889</v>
      </c>
      <c r="G24" s="163">
        <f t="shared" si="12"/>
        <v>128.26388888888889</v>
      </c>
      <c r="H24" s="163">
        <f t="shared" si="12"/>
        <v>128.26388888888889</v>
      </c>
      <c r="I24" s="163">
        <f t="shared" si="12"/>
        <v>128.26388888888889</v>
      </c>
      <c r="J24" s="163">
        <f t="shared" si="12"/>
        <v>128.26388888888889</v>
      </c>
      <c r="K24" s="163">
        <f t="shared" si="12"/>
        <v>128.26388888888889</v>
      </c>
      <c r="L24" s="163">
        <f t="shared" si="12"/>
        <v>128.26388888888889</v>
      </c>
      <c r="M24" s="163">
        <f t="shared" si="12"/>
        <v>128.26388888888889</v>
      </c>
      <c r="N24" s="163">
        <f>SUM(B24:M24)</f>
        <v>1539.1666666666667</v>
      </c>
      <c r="O24" s="163">
        <f aca="true" t="shared" si="13" ref="O24:Z24">O18+O22</f>
        <v>157.43055555555554</v>
      </c>
      <c r="P24" s="163">
        <f t="shared" si="13"/>
        <v>157.43055555555554</v>
      </c>
      <c r="Q24" s="163">
        <f t="shared" si="13"/>
        <v>157.43055555555554</v>
      </c>
      <c r="R24" s="163">
        <f t="shared" si="13"/>
        <v>157.43055555555554</v>
      </c>
      <c r="S24" s="163">
        <f t="shared" si="13"/>
        <v>157.43055555555554</v>
      </c>
      <c r="T24" s="163">
        <f t="shared" si="13"/>
        <v>157.43055555555554</v>
      </c>
      <c r="U24" s="163">
        <f t="shared" si="13"/>
        <v>157.43055555555554</v>
      </c>
      <c r="V24" s="163">
        <f t="shared" si="13"/>
        <v>157.43055555555554</v>
      </c>
      <c r="W24" s="163">
        <f t="shared" si="13"/>
        <v>157.43055555555554</v>
      </c>
      <c r="X24" s="163">
        <f t="shared" si="13"/>
        <v>157.43055555555554</v>
      </c>
      <c r="Y24" s="163">
        <f t="shared" si="13"/>
        <v>157.43055555555554</v>
      </c>
      <c r="Z24" s="163">
        <f t="shared" si="13"/>
        <v>157.43055555555554</v>
      </c>
      <c r="AA24" s="163">
        <f>SUM(O24:Z24)</f>
        <v>1889.166666666667</v>
      </c>
      <c r="AB24" s="163">
        <f>AB18+AB22</f>
        <v>2239.1666666666665</v>
      </c>
      <c r="AC24" s="163">
        <f>AC18+AC22</f>
        <v>2239.1666666666665</v>
      </c>
      <c r="AD24" s="163">
        <f>AD18+AD22</f>
        <v>2239.1666666666665</v>
      </c>
      <c r="AE24" s="199"/>
      <c r="AF24" s="145"/>
      <c r="AG24" s="145"/>
      <c r="AH24" s="145"/>
      <c r="AI24" s="165"/>
      <c r="AJ24" s="151"/>
      <c r="AK24" s="151"/>
      <c r="AL24" s="151"/>
      <c r="AM24" s="145"/>
    </row>
    <row r="25" spans="1:39" ht="15">
      <c r="A25" s="199"/>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45"/>
      <c r="AG25" s="145"/>
      <c r="AH25" s="145"/>
      <c r="AI25" s="165"/>
      <c r="AJ25" s="151"/>
      <c r="AK25" s="157"/>
      <c r="AL25" s="156"/>
      <c r="AM25" s="145"/>
    </row>
    <row r="26" spans="1:39" ht="15" hidden="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45"/>
      <c r="AG26" s="145"/>
      <c r="AH26" s="145"/>
      <c r="AI26" s="165"/>
      <c r="AJ26" s="151"/>
      <c r="AK26" s="157"/>
      <c r="AL26" s="156"/>
      <c r="AM26" s="145"/>
    </row>
    <row r="27" spans="1:39" ht="15" hidden="1">
      <c r="A27" s="210" t="s">
        <v>37</v>
      </c>
      <c r="B27" s="210">
        <f aca="true" t="shared" si="14" ref="B27:M27">SUMPRODUCT(B2:B11,$AI2:$AI11)</f>
        <v>0</v>
      </c>
      <c r="C27" s="210">
        <f t="shared" si="14"/>
        <v>0</v>
      </c>
      <c r="D27" s="210">
        <f t="shared" si="14"/>
        <v>0</v>
      </c>
      <c r="E27" s="210">
        <f t="shared" si="14"/>
        <v>0</v>
      </c>
      <c r="F27" s="210">
        <f t="shared" si="14"/>
        <v>0</v>
      </c>
      <c r="G27" s="210">
        <f t="shared" si="14"/>
        <v>0</v>
      </c>
      <c r="H27" s="210">
        <f t="shared" si="14"/>
        <v>0</v>
      </c>
      <c r="I27" s="210">
        <f t="shared" si="14"/>
        <v>0</v>
      </c>
      <c r="J27" s="210">
        <f t="shared" si="14"/>
        <v>0</v>
      </c>
      <c r="K27" s="210">
        <f t="shared" si="14"/>
        <v>0</v>
      </c>
      <c r="L27" s="210">
        <f t="shared" si="14"/>
        <v>0</v>
      </c>
      <c r="M27" s="210">
        <f t="shared" si="14"/>
        <v>0</v>
      </c>
      <c r="N27" s="210"/>
      <c r="O27" s="210">
        <f aca="true" t="shared" si="15" ref="O27:Z27">SUMPRODUCT(O2:O11,$AI2:$AI11)</f>
        <v>0</v>
      </c>
      <c r="P27" s="210">
        <f t="shared" si="15"/>
        <v>0</v>
      </c>
      <c r="Q27" s="210">
        <f t="shared" si="15"/>
        <v>0</v>
      </c>
      <c r="R27" s="210">
        <f t="shared" si="15"/>
        <v>0</v>
      </c>
      <c r="S27" s="210">
        <f t="shared" si="15"/>
        <v>0</v>
      </c>
      <c r="T27" s="210">
        <f t="shared" si="15"/>
        <v>0</v>
      </c>
      <c r="U27" s="210">
        <f t="shared" si="15"/>
        <v>0</v>
      </c>
      <c r="V27" s="210">
        <f t="shared" si="15"/>
        <v>0</v>
      </c>
      <c r="W27" s="210">
        <f t="shared" si="15"/>
        <v>0</v>
      </c>
      <c r="X27" s="210">
        <f t="shared" si="15"/>
        <v>0</v>
      </c>
      <c r="Y27" s="210">
        <f t="shared" si="15"/>
        <v>0</v>
      </c>
      <c r="Z27" s="210">
        <f t="shared" si="15"/>
        <v>0</v>
      </c>
      <c r="AA27" s="210"/>
      <c r="AB27" s="210">
        <f>SUMPRODUCT(AB2:AB11,$AI2:$AI11)</f>
        <v>0</v>
      </c>
      <c r="AC27" s="210">
        <f>SUMPRODUCT(AC2:AC11,$AI2:$AI11)</f>
        <v>0</v>
      </c>
      <c r="AD27" s="210">
        <f>SUMPRODUCT(AD2:AD11,$AI2:$AI11)</f>
        <v>0</v>
      </c>
      <c r="AE27" s="199"/>
      <c r="AF27" s="145"/>
      <c r="AG27" s="145"/>
      <c r="AH27" s="145"/>
      <c r="AI27" s="165"/>
      <c r="AJ27" s="151"/>
      <c r="AK27" s="151"/>
      <c r="AL27" s="151"/>
      <c r="AM27" s="145"/>
    </row>
    <row r="28" spans="1:39" ht="15" hidden="1">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199"/>
      <c r="AF28" s="145"/>
      <c r="AG28" s="145"/>
      <c r="AH28" s="145"/>
      <c r="AI28" s="165"/>
      <c r="AJ28" s="151"/>
      <c r="AK28" s="151"/>
      <c r="AL28" s="151"/>
      <c r="AM28" s="145"/>
    </row>
    <row r="29" spans="1:39" ht="15" hidden="1">
      <c r="A29" s="210" t="s">
        <v>220</v>
      </c>
      <c r="B29" s="210">
        <f aca="true" t="shared" si="16" ref="B29:M29">B11-B30</f>
        <v>25500</v>
      </c>
      <c r="C29" s="210">
        <f t="shared" si="16"/>
        <v>0</v>
      </c>
      <c r="D29" s="210">
        <f t="shared" si="16"/>
        <v>0</v>
      </c>
      <c r="E29" s="210">
        <f t="shared" si="16"/>
        <v>0</v>
      </c>
      <c r="F29" s="210">
        <f t="shared" si="16"/>
        <v>0</v>
      </c>
      <c r="G29" s="210">
        <f t="shared" si="16"/>
        <v>0</v>
      </c>
      <c r="H29" s="210">
        <f t="shared" si="16"/>
        <v>0</v>
      </c>
      <c r="I29" s="210">
        <f t="shared" si="16"/>
        <v>0</v>
      </c>
      <c r="J29" s="210">
        <f t="shared" si="16"/>
        <v>0</v>
      </c>
      <c r="K29" s="210">
        <f t="shared" si="16"/>
        <v>0</v>
      </c>
      <c r="L29" s="210">
        <f t="shared" si="16"/>
        <v>0</v>
      </c>
      <c r="M29" s="210">
        <f t="shared" si="16"/>
        <v>0</v>
      </c>
      <c r="N29" s="210"/>
      <c r="O29" s="210">
        <f aca="true" t="shared" si="17" ref="O29:Z29">O11-O30</f>
        <v>7000</v>
      </c>
      <c r="P29" s="210">
        <f t="shared" si="17"/>
        <v>0</v>
      </c>
      <c r="Q29" s="210">
        <f t="shared" si="17"/>
        <v>0</v>
      </c>
      <c r="R29" s="210">
        <f t="shared" si="17"/>
        <v>0</v>
      </c>
      <c r="S29" s="210">
        <f t="shared" si="17"/>
        <v>0</v>
      </c>
      <c r="T29" s="210">
        <f t="shared" si="17"/>
        <v>0</v>
      </c>
      <c r="U29" s="210">
        <f t="shared" si="17"/>
        <v>0</v>
      </c>
      <c r="V29" s="210">
        <f t="shared" si="17"/>
        <v>0</v>
      </c>
      <c r="W29" s="210">
        <f t="shared" si="17"/>
        <v>0</v>
      </c>
      <c r="X29" s="210">
        <f t="shared" si="17"/>
        <v>0</v>
      </c>
      <c r="Y29" s="210">
        <f t="shared" si="17"/>
        <v>0</v>
      </c>
      <c r="Z29" s="210">
        <f t="shared" si="17"/>
        <v>0</v>
      </c>
      <c r="AA29" s="210"/>
      <c r="AB29" s="210">
        <f>AB11-AB30</f>
        <v>7000</v>
      </c>
      <c r="AC29" s="210">
        <f>AC11-AC30</f>
        <v>0</v>
      </c>
      <c r="AD29" s="210">
        <f>AD11-AD30</f>
        <v>0</v>
      </c>
      <c r="AE29" s="199"/>
      <c r="AF29" s="145"/>
      <c r="AG29" s="145"/>
      <c r="AH29" s="145"/>
      <c r="AI29" s="165"/>
      <c r="AJ29" s="151"/>
      <c r="AK29" s="151"/>
      <c r="AL29" s="151"/>
      <c r="AM29" s="145"/>
    </row>
    <row r="30" spans="1:39" ht="15" hidden="1">
      <c r="A30" s="210" t="s">
        <v>206</v>
      </c>
      <c r="B30" s="210">
        <f aca="true" t="shared" si="18" ref="B30:M30">SUMPRODUCT(B2:B11,$AK2:$AK11)</f>
        <v>0</v>
      </c>
      <c r="C30" s="210">
        <f t="shared" si="18"/>
        <v>0</v>
      </c>
      <c r="D30" s="210">
        <f t="shared" si="18"/>
        <v>0</v>
      </c>
      <c r="E30" s="210">
        <f t="shared" si="18"/>
        <v>0</v>
      </c>
      <c r="F30" s="210">
        <f t="shared" si="18"/>
        <v>0</v>
      </c>
      <c r="G30" s="210">
        <f t="shared" si="18"/>
        <v>0</v>
      </c>
      <c r="H30" s="210">
        <f t="shared" si="18"/>
        <v>0</v>
      </c>
      <c r="I30" s="210">
        <f t="shared" si="18"/>
        <v>0</v>
      </c>
      <c r="J30" s="210">
        <f t="shared" si="18"/>
        <v>0</v>
      </c>
      <c r="K30" s="210">
        <f t="shared" si="18"/>
        <v>0</v>
      </c>
      <c r="L30" s="210">
        <f t="shared" si="18"/>
        <v>0</v>
      </c>
      <c r="M30" s="210">
        <f t="shared" si="18"/>
        <v>0</v>
      </c>
      <c r="N30" s="210"/>
      <c r="O30" s="210">
        <f aca="true" t="shared" si="19" ref="O30:Z30">SUMPRODUCT(O2:O11,$AK2:$AK11)</f>
        <v>0</v>
      </c>
      <c r="P30" s="210">
        <f t="shared" si="19"/>
        <v>0</v>
      </c>
      <c r="Q30" s="210">
        <f t="shared" si="19"/>
        <v>0</v>
      </c>
      <c r="R30" s="210">
        <f t="shared" si="19"/>
        <v>0</v>
      </c>
      <c r="S30" s="210">
        <f t="shared" si="19"/>
        <v>0</v>
      </c>
      <c r="T30" s="210">
        <f t="shared" si="19"/>
        <v>0</v>
      </c>
      <c r="U30" s="210">
        <f t="shared" si="19"/>
        <v>0</v>
      </c>
      <c r="V30" s="210">
        <f t="shared" si="19"/>
        <v>0</v>
      </c>
      <c r="W30" s="210">
        <f t="shared" si="19"/>
        <v>0</v>
      </c>
      <c r="X30" s="210">
        <f t="shared" si="19"/>
        <v>0</v>
      </c>
      <c r="Y30" s="210">
        <f t="shared" si="19"/>
        <v>0</v>
      </c>
      <c r="Z30" s="210">
        <f t="shared" si="19"/>
        <v>0</v>
      </c>
      <c r="AA30" s="210"/>
      <c r="AB30" s="210">
        <f>SUMPRODUCT(AB2:AB11,$AK2:$AK11)</f>
        <v>0</v>
      </c>
      <c r="AC30" s="210">
        <f>SUMPRODUCT(AC2:AC11,$AK2:$AK11)</f>
        <v>0</v>
      </c>
      <c r="AD30" s="210">
        <f>SUMPRODUCT(AD2:AD11,$AK2:$AK11)</f>
        <v>0</v>
      </c>
      <c r="AE30" s="199"/>
      <c r="AF30" s="145"/>
      <c r="AG30" s="145"/>
      <c r="AH30" s="145"/>
      <c r="AI30" s="165"/>
      <c r="AJ30" s="151"/>
      <c r="AK30" s="151"/>
      <c r="AL30" s="151"/>
      <c r="AM30" s="145"/>
    </row>
    <row r="31" spans="1:39" ht="15" hidden="1">
      <c r="A31" s="210" t="s">
        <v>90</v>
      </c>
      <c r="B31" s="222">
        <f aca="true" t="shared" si="20" ref="B31:M31">IF(B30=0,0,SUMPRODUCT(B2:B11,$AK2:$AK11,$AL2:$AL11)/B30)</f>
        <v>0</v>
      </c>
      <c r="C31" s="222">
        <f t="shared" si="20"/>
        <v>0</v>
      </c>
      <c r="D31" s="222">
        <f t="shared" si="20"/>
        <v>0</v>
      </c>
      <c r="E31" s="222">
        <f t="shared" si="20"/>
        <v>0</v>
      </c>
      <c r="F31" s="222">
        <f t="shared" si="20"/>
        <v>0</v>
      </c>
      <c r="G31" s="222">
        <f t="shared" si="20"/>
        <v>0</v>
      </c>
      <c r="H31" s="222">
        <f t="shared" si="20"/>
        <v>0</v>
      </c>
      <c r="I31" s="222">
        <f t="shared" si="20"/>
        <v>0</v>
      </c>
      <c r="J31" s="222">
        <f t="shared" si="20"/>
        <v>0</v>
      </c>
      <c r="K31" s="222">
        <f t="shared" si="20"/>
        <v>0</v>
      </c>
      <c r="L31" s="222">
        <f t="shared" si="20"/>
        <v>0</v>
      </c>
      <c r="M31" s="222">
        <f t="shared" si="20"/>
        <v>0</v>
      </c>
      <c r="N31" s="222"/>
      <c r="O31" s="222">
        <f aca="true" t="shared" si="21" ref="O31:Z31">IF(O30=0,0,SUMPRODUCT(O2:O11,$AK2:$AK11,$AL2:$AL11)/O30)</f>
        <v>0</v>
      </c>
      <c r="P31" s="222">
        <f t="shared" si="21"/>
        <v>0</v>
      </c>
      <c r="Q31" s="222">
        <f t="shared" si="21"/>
        <v>0</v>
      </c>
      <c r="R31" s="222">
        <f t="shared" si="21"/>
        <v>0</v>
      </c>
      <c r="S31" s="222">
        <f t="shared" si="21"/>
        <v>0</v>
      </c>
      <c r="T31" s="222">
        <f t="shared" si="21"/>
        <v>0</v>
      </c>
      <c r="U31" s="222">
        <f t="shared" si="21"/>
        <v>0</v>
      </c>
      <c r="V31" s="222">
        <f t="shared" si="21"/>
        <v>0</v>
      </c>
      <c r="W31" s="222">
        <f t="shared" si="21"/>
        <v>0</v>
      </c>
      <c r="X31" s="222">
        <f t="shared" si="21"/>
        <v>0</v>
      </c>
      <c r="Y31" s="222">
        <f t="shared" si="21"/>
        <v>0</v>
      </c>
      <c r="Z31" s="222">
        <f t="shared" si="21"/>
        <v>0</v>
      </c>
      <c r="AA31" s="210"/>
      <c r="AB31" s="222">
        <f>IF(AB30=0,0,SUMPRODUCT(AB2:AB11,$AK2:$AK11,$AL2:$AL11)/AB30)</f>
        <v>0</v>
      </c>
      <c r="AC31" s="222">
        <f>IF(AC30=0,0,SUMPRODUCT(AC2:AC11,$AK2:$AK11,$AL2:$AL11)/AC30)</f>
        <v>0</v>
      </c>
      <c r="AD31" s="222">
        <f>IF(AD30=0,0,SUMPRODUCT(AD2:AD11,$AK2:$AK11,$AL2:$AL11)/AD30)</f>
        <v>0</v>
      </c>
      <c r="AE31" s="199"/>
      <c r="AF31" s="145"/>
      <c r="AG31" s="145"/>
      <c r="AH31" s="145"/>
      <c r="AI31" s="165"/>
      <c r="AJ31" s="151"/>
      <c r="AK31" s="151"/>
      <c r="AL31" s="151"/>
      <c r="AM31" s="145"/>
    </row>
    <row r="32" spans="1:39" ht="15" hidden="1">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45"/>
      <c r="AG32" s="145"/>
      <c r="AH32" s="145"/>
      <c r="AI32" s="165"/>
      <c r="AJ32" s="151"/>
      <c r="AK32" s="151"/>
      <c r="AL32" s="151"/>
      <c r="AM32" s="145"/>
    </row>
    <row r="33" spans="1:39" ht="15" hidden="1">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45"/>
      <c r="AG33" s="145"/>
      <c r="AH33" s="145"/>
      <c r="AI33" s="165"/>
      <c r="AJ33" s="151"/>
      <c r="AK33" s="151"/>
      <c r="AL33" s="151"/>
      <c r="AM33" s="145"/>
    </row>
    <row r="34" spans="1:39" ht="15">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45"/>
      <c r="AG34" s="145"/>
      <c r="AH34" s="145"/>
      <c r="AI34" s="165"/>
      <c r="AJ34" s="151"/>
      <c r="AK34" s="151"/>
      <c r="AL34" s="151"/>
      <c r="AM34" s="145"/>
    </row>
    <row r="35" spans="1:39" ht="12.75">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65"/>
      <c r="AJ35" s="151"/>
      <c r="AK35" s="151"/>
      <c r="AL35" s="151"/>
      <c r="AM35" s="145"/>
    </row>
    <row r="36" spans="1:39" ht="30">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300" t="s">
        <v>244</v>
      </c>
      <c r="AC36" s="301" t="s">
        <v>235</v>
      </c>
      <c r="AD36" s="302" t="s">
        <v>234</v>
      </c>
      <c r="AE36" s="145"/>
      <c r="AF36" s="145"/>
      <c r="AG36" s="145"/>
      <c r="AH36" s="145"/>
      <c r="AI36" s="165"/>
      <c r="AJ36" s="151"/>
      <c r="AK36" s="151"/>
      <c r="AL36" s="151"/>
      <c r="AM36" s="145"/>
    </row>
    <row r="37" spans="1:39" ht="12.75">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303"/>
      <c r="AC37" s="284"/>
      <c r="AD37" s="304"/>
      <c r="AE37" s="145"/>
      <c r="AF37" s="145"/>
      <c r="AG37" s="145"/>
      <c r="AH37" s="145"/>
      <c r="AI37" s="165"/>
      <c r="AJ37" s="151"/>
      <c r="AK37" s="151"/>
      <c r="AL37" s="151"/>
      <c r="AM37" s="145"/>
    </row>
    <row r="38" spans="28:30" ht="12.75">
      <c r="AB38" s="306" t="s">
        <v>245</v>
      </c>
      <c r="AC38" s="307">
        <v>10</v>
      </c>
      <c r="AD38" s="308">
        <v>0.25</v>
      </c>
    </row>
    <row r="39" spans="28:30" ht="12.75">
      <c r="AB39" s="306" t="s">
        <v>246</v>
      </c>
      <c r="AC39" s="307">
        <v>10</v>
      </c>
      <c r="AD39" s="308">
        <v>0.1</v>
      </c>
    </row>
    <row r="40" spans="28:30" ht="12.75">
      <c r="AB40" s="303"/>
      <c r="AC40" s="287"/>
      <c r="AD40" s="305"/>
    </row>
    <row r="41" spans="28:30" ht="12.75">
      <c r="AB41" s="303"/>
      <c r="AC41" s="287"/>
      <c r="AD41" s="305"/>
    </row>
    <row r="42" spans="28:30" ht="12.75">
      <c r="AB42" s="306" t="s">
        <v>115</v>
      </c>
      <c r="AC42" s="307">
        <v>20</v>
      </c>
      <c r="AD42" s="308">
        <v>0.1</v>
      </c>
    </row>
    <row r="43" spans="28:38" ht="12.75">
      <c r="AB43" s="309" t="s">
        <v>30</v>
      </c>
      <c r="AC43" s="310">
        <v>15</v>
      </c>
      <c r="AD43" s="311">
        <v>0.15</v>
      </c>
      <c r="AI43" s="139"/>
      <c r="AJ43" s="139"/>
      <c r="AK43" s="139"/>
      <c r="AL43" s="139"/>
    </row>
    <row r="45" spans="35:38" ht="12.75">
      <c r="AI45" s="139"/>
      <c r="AJ45" s="139"/>
      <c r="AK45" s="139"/>
      <c r="AL45" s="139"/>
    </row>
    <row r="46" spans="35:38" ht="12.75">
      <c r="AI46" s="139"/>
      <c r="AJ46" s="139"/>
      <c r="AK46" s="139"/>
      <c r="AL46" s="139"/>
    </row>
  </sheetData>
  <sheetProtection/>
  <printOptions/>
  <pageMargins left="0.75" right="0.75" top="1" bottom="1" header="0.5" footer="0.5"/>
  <pageSetup fitToHeight="0" fitToWidth="0"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IV54"/>
  <sheetViews>
    <sheetView showGridLines="0" zoomScalePageLayoutView="0" workbookViewId="0" topLeftCell="A1">
      <pane xSplit="1" ySplit="1" topLeftCell="B2" activePane="bottomRight" state="frozen"/>
      <selection pane="topLeft" activeCell="G19" sqref="G19"/>
      <selection pane="topRight" activeCell="G19" sqref="G19"/>
      <selection pane="bottomLeft" activeCell="G19" sqref="G19"/>
      <selection pane="bottomRight" activeCell="A1" sqref="A1"/>
    </sheetView>
  </sheetViews>
  <sheetFormatPr defaultColWidth="9.140625" defaultRowHeight="12.75" outlineLevelCol="1"/>
  <cols>
    <col min="1" max="1" width="42.8515625" style="0" customWidth="1"/>
    <col min="2" max="13" width="13.28125" style="0" customWidth="1" outlineLevel="1"/>
    <col min="14" max="14" width="13.28125" style="0" customWidth="1"/>
    <col min="15" max="26" width="13.28125" style="0" customWidth="1" outlineLevel="1"/>
    <col min="27" max="30" width="13.28125" style="0" customWidth="1"/>
  </cols>
  <sheetData>
    <row r="1" spans="1:31" ht="15.75" customHeight="1">
      <c r="A1" s="27" t="str">
        <f>"COBRANZAS Y PAGOS ("&amp;Introducción!E17&amp;")"</f>
        <v>COBRANZAS Y PAGOS (Dólares)</v>
      </c>
      <c r="B1" s="7">
        <f>DATE(Introducción!E14,Introducción!E13,1)</f>
        <v>42370</v>
      </c>
      <c r="C1" s="7">
        <f aca="true" t="shared" si="0" ref="C1:M1">IF(MONTH(B1)=12,DATE(YEAR(B1)+1,1,1),DATE(YEAR(B1),MONTH(B1)+1,1))</f>
        <v>42401</v>
      </c>
      <c r="D1" s="7">
        <f t="shared" si="0"/>
        <v>42430</v>
      </c>
      <c r="E1" s="7">
        <f t="shared" si="0"/>
        <v>42461</v>
      </c>
      <c r="F1" s="7">
        <f t="shared" si="0"/>
        <v>42491</v>
      </c>
      <c r="G1" s="7">
        <f t="shared" si="0"/>
        <v>42522</v>
      </c>
      <c r="H1" s="7">
        <f t="shared" si="0"/>
        <v>42552</v>
      </c>
      <c r="I1" s="7">
        <f t="shared" si="0"/>
        <v>42583</v>
      </c>
      <c r="J1" s="7">
        <f t="shared" si="0"/>
        <v>42614</v>
      </c>
      <c r="K1" s="7">
        <f t="shared" si="0"/>
        <v>42644</v>
      </c>
      <c r="L1" s="7">
        <f t="shared" si="0"/>
        <v>42675</v>
      </c>
      <c r="M1" s="7">
        <f t="shared" si="0"/>
        <v>42705</v>
      </c>
      <c r="N1" s="81">
        <f>YEAR(M1)</f>
        <v>2016</v>
      </c>
      <c r="O1" s="7">
        <f>IF(MONTH(M1)=12,DATE(YEAR(M1)+1,1,1),DATE(YEAR(M1),MONTH(M1)+1,1))</f>
        <v>42736</v>
      </c>
      <c r="P1" s="7">
        <f aca="true" t="shared" si="1" ref="P1:Z1">IF(MONTH(O1)=12,DATE(YEAR(O1)+1,1,1),DATE(YEAR(O1),MONTH(O1)+1,1))</f>
        <v>42767</v>
      </c>
      <c r="Q1" s="7">
        <f t="shared" si="1"/>
        <v>42795</v>
      </c>
      <c r="R1" s="7">
        <f t="shared" si="1"/>
        <v>42826</v>
      </c>
      <c r="S1" s="7">
        <f t="shared" si="1"/>
        <v>42856</v>
      </c>
      <c r="T1" s="7">
        <f t="shared" si="1"/>
        <v>42887</v>
      </c>
      <c r="U1" s="7">
        <f t="shared" si="1"/>
        <v>42917</v>
      </c>
      <c r="V1" s="7">
        <f t="shared" si="1"/>
        <v>42948</v>
      </c>
      <c r="W1" s="7">
        <f t="shared" si="1"/>
        <v>42979</v>
      </c>
      <c r="X1" s="7">
        <f t="shared" si="1"/>
        <v>43009</v>
      </c>
      <c r="Y1" s="7">
        <f t="shared" si="1"/>
        <v>43040</v>
      </c>
      <c r="Z1" s="7">
        <f t="shared" si="1"/>
        <v>43070</v>
      </c>
      <c r="AA1" s="81">
        <f>YEAR(Z1)</f>
        <v>2017</v>
      </c>
      <c r="AB1" s="81">
        <f>1+AA1</f>
        <v>2018</v>
      </c>
      <c r="AC1" s="81">
        <f>1+AB1</f>
        <v>2019</v>
      </c>
      <c r="AD1" s="81">
        <f>1+AC1</f>
        <v>2020</v>
      </c>
      <c r="AE1" s="49"/>
    </row>
    <row r="2" spans="2:31" ht="12.75">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0" s="58" customFormat="1" ht="12">
      <c r="A3" s="47" t="s">
        <v>197</v>
      </c>
      <c r="B3" s="47">
        <f>Ingresos!B7</f>
        <v>14000</v>
      </c>
      <c r="C3" s="47">
        <f>Ingresos!C7</f>
        <v>14000</v>
      </c>
      <c r="D3" s="47">
        <f>Ingresos!D7</f>
        <v>14000</v>
      </c>
      <c r="E3" s="47">
        <f>Ingresos!E7</f>
        <v>14000</v>
      </c>
      <c r="F3" s="47">
        <f>Ingresos!F7</f>
        <v>14000</v>
      </c>
      <c r="G3" s="47">
        <f>Ingresos!G7</f>
        <v>14000</v>
      </c>
      <c r="H3" s="47">
        <f>Ingresos!H7</f>
        <v>14000</v>
      </c>
      <c r="I3" s="47">
        <f>Ingresos!I7</f>
        <v>14000</v>
      </c>
      <c r="J3" s="47">
        <f>Ingresos!J7</f>
        <v>14000</v>
      </c>
      <c r="K3" s="47">
        <f>Ingresos!K7</f>
        <v>14000</v>
      </c>
      <c r="L3" s="47">
        <f>Ingresos!L7</f>
        <v>14000</v>
      </c>
      <c r="M3" s="47">
        <f>Ingresos!M7</f>
        <v>14000</v>
      </c>
      <c r="N3" s="47">
        <f>Ingresos!N7</f>
        <v>168000</v>
      </c>
      <c r="O3" s="47">
        <f>Ingresos!O7</f>
        <v>18750</v>
      </c>
      <c r="P3" s="47">
        <f>Ingresos!P7</f>
        <v>18750</v>
      </c>
      <c r="Q3" s="47">
        <f>Ingresos!Q7</f>
        <v>18750</v>
      </c>
      <c r="R3" s="47">
        <f>Ingresos!R7</f>
        <v>18750</v>
      </c>
      <c r="S3" s="47">
        <f>Ingresos!S7</f>
        <v>18750</v>
      </c>
      <c r="T3" s="47">
        <f>Ingresos!T7</f>
        <v>18750</v>
      </c>
      <c r="U3" s="47">
        <f>Ingresos!U7</f>
        <v>18750</v>
      </c>
      <c r="V3" s="47">
        <f>Ingresos!V7</f>
        <v>18750</v>
      </c>
      <c r="W3" s="47">
        <f>Ingresos!W7</f>
        <v>18750</v>
      </c>
      <c r="X3" s="47">
        <f>Ingresos!X7</f>
        <v>18750</v>
      </c>
      <c r="Y3" s="47">
        <f>Ingresos!Y7</f>
        <v>18750</v>
      </c>
      <c r="Z3" s="47">
        <f>Ingresos!Z7</f>
        <v>18750</v>
      </c>
      <c r="AA3" s="47">
        <f>Ingresos!AA7</f>
        <v>225000</v>
      </c>
      <c r="AB3" s="47">
        <f>Ingresos!AB7</f>
        <v>248220</v>
      </c>
      <c r="AC3" s="47">
        <f>Ingresos!AC7</f>
        <v>289450</v>
      </c>
      <c r="AD3" s="47">
        <f>Ingresos!AD7</f>
        <v>364560</v>
      </c>
    </row>
    <row r="4" spans="1:256" s="82" customFormat="1" ht="12.75" customHeight="1">
      <c r="A4" s="32" t="s">
        <v>81</v>
      </c>
      <c r="B4" s="32">
        <f>Ingresos!B12+IF(B6&lt;30,Ingresos!B13*(30-B6)/30,0)</f>
        <v>14000</v>
      </c>
      <c r="C4" s="32">
        <f>Ingresos!C12+IF(C6&lt;30,Ingresos!C13*(30-C6)/30,0)</f>
        <v>14000</v>
      </c>
      <c r="D4" s="32">
        <f>Ingresos!D12+IF(D6&lt;30,Ingresos!D13*(30-D6)/30,0)</f>
        <v>14000</v>
      </c>
      <c r="E4" s="32">
        <f>Ingresos!E12+IF(E6&lt;30,Ingresos!E13*(30-E6)/30,0)</f>
        <v>14000</v>
      </c>
      <c r="F4" s="32">
        <f>Ingresos!F12+IF(F6&lt;30,Ingresos!F13*(30-F6)/30,0)</f>
        <v>14000</v>
      </c>
      <c r="G4" s="32">
        <f>Ingresos!G12+IF(G6&lt;30,Ingresos!G13*(30-G6)/30,0)</f>
        <v>14000</v>
      </c>
      <c r="H4" s="32">
        <f>Ingresos!H12+IF(H6&lt;30,Ingresos!H13*(30-H6)/30,0)</f>
        <v>14000</v>
      </c>
      <c r="I4" s="32">
        <f>Ingresos!I12+IF(I6&lt;30,Ingresos!I13*(30-I6)/30,0)</f>
        <v>14000</v>
      </c>
      <c r="J4" s="32">
        <f>Ingresos!J12+IF(J6&lt;30,Ingresos!J13*(30-J6)/30,0)</f>
        <v>14000</v>
      </c>
      <c r="K4" s="32">
        <f>Ingresos!K12+IF(K6&lt;30,Ingresos!K13*(30-K6)/30,0)</f>
        <v>14000</v>
      </c>
      <c r="L4" s="32">
        <f>Ingresos!L12+IF(L6&lt;30,Ingresos!L13*(30-L6)/30,0)</f>
        <v>14000</v>
      </c>
      <c r="M4" s="32">
        <f>Ingresos!M12+IF(M6&lt;30,Ingresos!M13*(30-M6)/30,0)</f>
        <v>14000</v>
      </c>
      <c r="N4" s="32">
        <f>SUM(B4:M4)</f>
        <v>168000</v>
      </c>
      <c r="O4" s="32">
        <f>Ingresos!O12+IF(O6&lt;30,Ingresos!O13*(30-O6)/30,0)</f>
        <v>18750</v>
      </c>
      <c r="P4" s="32">
        <f>Ingresos!P12+IF(P6&lt;30,Ingresos!P13*(30-P6)/30,0)</f>
        <v>18750</v>
      </c>
      <c r="Q4" s="32">
        <f>Ingresos!Q12+IF(Q6&lt;30,Ingresos!Q13*(30-Q6)/30,0)</f>
        <v>18750</v>
      </c>
      <c r="R4" s="32">
        <f>Ingresos!R12+IF(R6&lt;30,Ingresos!R13*(30-R6)/30,0)</f>
        <v>18750</v>
      </c>
      <c r="S4" s="32">
        <f>Ingresos!S12+IF(S6&lt;30,Ingresos!S13*(30-S6)/30,0)</f>
        <v>18750</v>
      </c>
      <c r="T4" s="32">
        <f>Ingresos!T12+IF(T6&lt;30,Ingresos!T13*(30-T6)/30,0)</f>
        <v>18750</v>
      </c>
      <c r="U4" s="32">
        <f>Ingresos!U12+IF(U6&lt;30,Ingresos!U13*(30-U6)/30,0)</f>
        <v>18750</v>
      </c>
      <c r="V4" s="32">
        <f>Ingresos!V12+IF(V6&lt;30,Ingresos!V13*(30-V6)/30,0)</f>
        <v>18750</v>
      </c>
      <c r="W4" s="32">
        <f>Ingresos!W12+IF(W6&lt;30,Ingresos!W13*(30-W6)/30,0)</f>
        <v>18750</v>
      </c>
      <c r="X4" s="32">
        <f>Ingresos!X12+IF(X6&lt;30,Ingresos!X13*(30-X6)/30,0)</f>
        <v>18750</v>
      </c>
      <c r="Y4" s="32">
        <f>Ingresos!Y12+IF(Y6&lt;30,Ingresos!Y13*(30-Y6)/30,0)</f>
        <v>18750</v>
      </c>
      <c r="Z4" s="32">
        <f>Ingresos!Z12+IF(Z6&lt;30,Ingresos!Z13*(30-Z6)/30,0)</f>
        <v>18750</v>
      </c>
      <c r="AA4" s="32">
        <f>SUM(O4:Z4)</f>
        <v>225000</v>
      </c>
      <c r="AB4" s="32">
        <f>Ingresos!AB12</f>
        <v>248220</v>
      </c>
      <c r="AC4" s="32">
        <f>Ingresos!AC12</f>
        <v>289450</v>
      </c>
      <c r="AD4" s="32">
        <f>Ingresos!AD12</f>
        <v>364560</v>
      </c>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82" customFormat="1" ht="12.75" customHeight="1">
      <c r="A5" s="32" t="s">
        <v>142</v>
      </c>
      <c r="B5" s="32">
        <f>Ingresos!B13*IF(B6&lt;30,B6/30,1)</f>
        <v>0</v>
      </c>
      <c r="C5" s="32">
        <f>Ingresos!C13*IF(C6&lt;30,C6/30,1)</f>
        <v>0</v>
      </c>
      <c r="D5" s="32">
        <f>Ingresos!D13*IF(D6&lt;30,D6/30,1)</f>
        <v>0</v>
      </c>
      <c r="E5" s="32">
        <f>Ingresos!E13*IF(E6&lt;30,E6/30,1)</f>
        <v>0</v>
      </c>
      <c r="F5" s="32">
        <f>Ingresos!F13*IF(F6&lt;30,F6/30,1)</f>
        <v>0</v>
      </c>
      <c r="G5" s="32">
        <f>Ingresos!G13*IF(G6&lt;30,G6/30,1)</f>
        <v>0</v>
      </c>
      <c r="H5" s="32">
        <f>Ingresos!H13*IF(H6&lt;30,H6/30,1)</f>
        <v>0</v>
      </c>
      <c r="I5" s="32">
        <f>Ingresos!I13*IF(I6&lt;30,I6/30,1)</f>
        <v>0</v>
      </c>
      <c r="J5" s="32">
        <f>Ingresos!J13*IF(J6&lt;30,J6/30,1)</f>
        <v>0</v>
      </c>
      <c r="K5" s="32">
        <f>Ingresos!K13*IF(K6&lt;30,K6/30,1)</f>
        <v>0</v>
      </c>
      <c r="L5" s="32">
        <f>Ingresos!L13*IF(L6&lt;30,L6/30,1)</f>
        <v>0</v>
      </c>
      <c r="M5" s="32">
        <f>Ingresos!M13*IF(M6&lt;30,M6/30,1)</f>
        <v>0</v>
      </c>
      <c r="N5" s="32">
        <f>SUM(B5:M5)</f>
        <v>0</v>
      </c>
      <c r="O5" s="32">
        <f>Ingresos!O13*IF(O6&lt;30,O6/30,1)</f>
        <v>0</v>
      </c>
      <c r="P5" s="32">
        <f>Ingresos!P13*IF(P6&lt;30,P6/30,1)</f>
        <v>0</v>
      </c>
      <c r="Q5" s="32">
        <f>Ingresos!Q13*IF(Q6&lt;30,Q6/30,1)</f>
        <v>0</v>
      </c>
      <c r="R5" s="32">
        <f>Ingresos!R13*IF(R6&lt;30,R6/30,1)</f>
        <v>0</v>
      </c>
      <c r="S5" s="32">
        <f>Ingresos!S13*IF(S6&lt;30,S6/30,1)</f>
        <v>0</v>
      </c>
      <c r="T5" s="32">
        <f>Ingresos!T13*IF(T6&lt;30,T6/30,1)</f>
        <v>0</v>
      </c>
      <c r="U5" s="32">
        <f>Ingresos!U13*IF(U6&lt;30,U6/30,1)</f>
        <v>0</v>
      </c>
      <c r="V5" s="32">
        <f>Ingresos!V13*IF(V6&lt;30,V6/30,1)</f>
        <v>0</v>
      </c>
      <c r="W5" s="32">
        <f>Ingresos!W13*IF(W6&lt;30,W6/30,1)</f>
        <v>0</v>
      </c>
      <c r="X5" s="32">
        <f>Ingresos!X13*IF(X6&lt;30,X6/30,1)</f>
        <v>0</v>
      </c>
      <c r="Y5" s="32">
        <f>Ingresos!Y13*IF(Y6&lt;30,Y6/30,1)</f>
        <v>0</v>
      </c>
      <c r="Z5" s="32">
        <f>Ingresos!Z13*IF(Z6&lt;30,Z6/30,1)</f>
        <v>0</v>
      </c>
      <c r="AA5" s="32">
        <f>SUM(O5:Z5)</f>
        <v>0</v>
      </c>
      <c r="AB5" s="32">
        <f>Ingresos!AB13</f>
        <v>0</v>
      </c>
      <c r="AC5" s="32">
        <f>Ingresos!AC13</f>
        <v>0</v>
      </c>
      <c r="AD5" s="32">
        <f>Ingresos!AD13</f>
        <v>0</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82" customFormat="1" ht="12.75" customHeight="1">
      <c r="A6" s="3" t="s">
        <v>169</v>
      </c>
      <c r="B6" s="23">
        <f>Ingresos!B14</f>
        <v>0</v>
      </c>
      <c r="C6" s="23">
        <f>Ingresos!C14</f>
        <v>0</v>
      </c>
      <c r="D6" s="23">
        <f>Ingresos!D14</f>
        <v>0</v>
      </c>
      <c r="E6" s="23">
        <f>Ingresos!E14</f>
        <v>0</v>
      </c>
      <c r="F6" s="23">
        <f>Ingresos!F14</f>
        <v>0</v>
      </c>
      <c r="G6" s="23">
        <f>Ingresos!G14</f>
        <v>0</v>
      </c>
      <c r="H6" s="23">
        <f>Ingresos!H14</f>
        <v>0</v>
      </c>
      <c r="I6" s="23">
        <f>Ingresos!I14</f>
        <v>0</v>
      </c>
      <c r="J6" s="23">
        <f>Ingresos!J14</f>
        <v>0</v>
      </c>
      <c r="K6" s="23">
        <f>Ingresos!K14</f>
        <v>0</v>
      </c>
      <c r="L6" s="23">
        <f>Ingresos!L14</f>
        <v>0</v>
      </c>
      <c r="M6" s="23">
        <f>Ingresos!M14</f>
        <v>0</v>
      </c>
      <c r="N6" s="11">
        <f>IF(N5=0,0,N9/N5*360)</f>
        <v>0</v>
      </c>
      <c r="O6" s="23">
        <f>Ingresos!O14</f>
        <v>0</v>
      </c>
      <c r="P6" s="23">
        <f>Ingresos!P14</f>
        <v>0</v>
      </c>
      <c r="Q6" s="23">
        <f>Ingresos!Q14</f>
        <v>0</v>
      </c>
      <c r="R6" s="23">
        <f>Ingresos!R14</f>
        <v>0</v>
      </c>
      <c r="S6" s="23">
        <f>Ingresos!S14</f>
        <v>0</v>
      </c>
      <c r="T6" s="23">
        <f>Ingresos!T14</f>
        <v>0</v>
      </c>
      <c r="U6" s="23">
        <f>Ingresos!U14</f>
        <v>0</v>
      </c>
      <c r="V6" s="23">
        <f>Ingresos!V14</f>
        <v>0</v>
      </c>
      <c r="W6" s="23">
        <f>Ingresos!W14</f>
        <v>0</v>
      </c>
      <c r="X6" s="23">
        <f>Ingresos!X14</f>
        <v>0</v>
      </c>
      <c r="Y6" s="23">
        <f>Ingresos!Y14</f>
        <v>0</v>
      </c>
      <c r="Z6" s="23">
        <f>Ingresos!Z14</f>
        <v>0</v>
      </c>
      <c r="AA6" s="11">
        <f>IF(AA5=0,0,AA9/AA5*360)</f>
        <v>0</v>
      </c>
      <c r="AB6" s="23">
        <f>Ingresos!AB14</f>
        <v>0</v>
      </c>
      <c r="AC6" s="23">
        <f>Ingresos!AC14</f>
        <v>0</v>
      </c>
      <c r="AD6" s="23">
        <f>Ingresos!AD14</f>
        <v>0</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82" customFormat="1" ht="14.25" customHeight="1">
      <c r="A7" s="32" t="s">
        <v>57</v>
      </c>
      <c r="B7" s="3">
        <f aca="true" t="shared" si="2" ref="B7:M7">ROUNDUP(B$54+MAX(1,(B6-15)/30),0)</f>
        <v>2</v>
      </c>
      <c r="C7" s="3">
        <f t="shared" si="2"/>
        <v>3</v>
      </c>
      <c r="D7" s="3">
        <f t="shared" si="2"/>
        <v>4</v>
      </c>
      <c r="E7" s="3">
        <f t="shared" si="2"/>
        <v>5</v>
      </c>
      <c r="F7" s="3">
        <f t="shared" si="2"/>
        <v>6</v>
      </c>
      <c r="G7" s="3">
        <f t="shared" si="2"/>
        <v>7</v>
      </c>
      <c r="H7" s="3">
        <f t="shared" si="2"/>
        <v>8</v>
      </c>
      <c r="I7" s="3">
        <f t="shared" si="2"/>
        <v>9</v>
      </c>
      <c r="J7" s="3">
        <f t="shared" si="2"/>
        <v>10</v>
      </c>
      <c r="K7" s="3">
        <f t="shared" si="2"/>
        <v>11</v>
      </c>
      <c r="L7" s="3">
        <f t="shared" si="2"/>
        <v>12</v>
      </c>
      <c r="M7" s="3">
        <f t="shared" si="2"/>
        <v>13</v>
      </c>
      <c r="N7" s="3"/>
      <c r="O7" s="3">
        <f aca="true" t="shared" si="3" ref="O7:Z7">ROUNDUP(O$54+MAX(1,(O6-15)/30),0)</f>
        <v>14</v>
      </c>
      <c r="P7" s="3">
        <f t="shared" si="3"/>
        <v>15</v>
      </c>
      <c r="Q7" s="3">
        <f t="shared" si="3"/>
        <v>16</v>
      </c>
      <c r="R7" s="3">
        <f t="shared" si="3"/>
        <v>17</v>
      </c>
      <c r="S7" s="3">
        <f t="shared" si="3"/>
        <v>18</v>
      </c>
      <c r="T7" s="3">
        <f t="shared" si="3"/>
        <v>19</v>
      </c>
      <c r="U7" s="3">
        <f t="shared" si="3"/>
        <v>20</v>
      </c>
      <c r="V7" s="3">
        <f t="shared" si="3"/>
        <v>21</v>
      </c>
      <c r="W7" s="3">
        <f t="shared" si="3"/>
        <v>22</v>
      </c>
      <c r="X7" s="3">
        <f t="shared" si="3"/>
        <v>23</v>
      </c>
      <c r="Y7" s="3">
        <f t="shared" si="3"/>
        <v>24</v>
      </c>
      <c r="Z7" s="3">
        <f t="shared" si="3"/>
        <v>25</v>
      </c>
      <c r="AA7" s="3"/>
      <c r="AB7" s="3"/>
      <c r="AC7" s="3"/>
      <c r="AD7" s="3"/>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82" customFormat="1" ht="14.25" customHeight="1">
      <c r="A8" s="32" t="s">
        <v>194</v>
      </c>
      <c r="B8" s="32">
        <f>B4+SUMIF($B7:B7,B$54,$B5:B5)</f>
        <v>14000</v>
      </c>
      <c r="C8" s="32">
        <f>C4+SUMIF($B7:C7,C$54,$B5:C5)</f>
        <v>14000</v>
      </c>
      <c r="D8" s="32">
        <f>D4+SUMIF($B7:D7,D$54,$B5:D5)</f>
        <v>14000</v>
      </c>
      <c r="E8" s="32">
        <f>E4+SUMIF($B7:E7,E$54,$B5:E5)</f>
        <v>14000</v>
      </c>
      <c r="F8" s="32">
        <f>F4+SUMIF($B7:F7,F$54,$B5:F5)</f>
        <v>14000</v>
      </c>
      <c r="G8" s="32">
        <f>G4+SUMIF($B7:G7,G$54,$B5:G5)</f>
        <v>14000</v>
      </c>
      <c r="H8" s="32">
        <f>H4+SUMIF($B7:H7,H$54,$B5:H5)</f>
        <v>14000</v>
      </c>
      <c r="I8" s="32">
        <f>I4+SUMIF($B7:I7,I$54,$B5:I5)</f>
        <v>14000</v>
      </c>
      <c r="J8" s="32">
        <f>J4+SUMIF($B7:J7,J$54,$B5:J5)</f>
        <v>14000</v>
      </c>
      <c r="K8" s="32">
        <f>K4+SUMIF($B7:K7,K$54,$B5:K5)</f>
        <v>14000</v>
      </c>
      <c r="L8" s="32">
        <f>L4+SUMIF($B7:L7,L$54,$B5:L5)</f>
        <v>14000</v>
      </c>
      <c r="M8" s="32">
        <f>M4+SUMIF($B7:M7,M$54,$B5:M5)</f>
        <v>14000</v>
      </c>
      <c r="N8" s="32">
        <f>SUM(B8:M8)</f>
        <v>168000</v>
      </c>
      <c r="O8" s="32">
        <f>O4+SUMIF($B7:O7,O$54,$B5:O5)</f>
        <v>18750</v>
      </c>
      <c r="P8" s="32">
        <f>P4+SUMIF($B7:P7,P$54,$B5:P5)</f>
        <v>18750</v>
      </c>
      <c r="Q8" s="32">
        <f>Q4+SUMIF($B7:Q7,Q$54,$B5:Q5)</f>
        <v>18750</v>
      </c>
      <c r="R8" s="32">
        <f>R4+SUMIF($B7:R7,R$54,$B5:R5)</f>
        <v>18750</v>
      </c>
      <c r="S8" s="32">
        <f>S4+SUMIF($B7:S7,S$54,$B5:S5)</f>
        <v>18750</v>
      </c>
      <c r="T8" s="32">
        <f>T4+SUMIF($B7:T7,T$54,$B5:T5)</f>
        <v>18750</v>
      </c>
      <c r="U8" s="32">
        <f>U4+SUMIF($B7:U7,U$54,$B5:U5)</f>
        <v>18750</v>
      </c>
      <c r="V8" s="32">
        <f>V4+SUMIF($B7:V7,V$54,$B5:V5)</f>
        <v>18750</v>
      </c>
      <c r="W8" s="32">
        <f>W4+SUMIF($B7:W7,W$54,$B5:W5)</f>
        <v>18750</v>
      </c>
      <c r="X8" s="32">
        <f>X4+SUMIF($B7:X7,X$54,$B5:X5)</f>
        <v>18750</v>
      </c>
      <c r="Y8" s="32">
        <f>Y4+SUMIF($B7:Y7,Y$54,$B5:Y5)</f>
        <v>18750</v>
      </c>
      <c r="Z8" s="32">
        <f>Z4+SUMIF($B7:Z7,Z$54,$B5:Z5)</f>
        <v>18750</v>
      </c>
      <c r="AA8" s="32">
        <f>SUM(O8:Z8)</f>
        <v>225000</v>
      </c>
      <c r="AB8" s="32">
        <f>AA9+AB3-AB9</f>
        <v>248220</v>
      </c>
      <c r="AC8" s="32">
        <f>AB9+AC3-AC9</f>
        <v>289450</v>
      </c>
      <c r="AD8" s="32">
        <f>AC9+AD3-AD9</f>
        <v>364560</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82" customFormat="1" ht="14.25" customHeight="1">
      <c r="A9" s="32" t="s">
        <v>182</v>
      </c>
      <c r="B9" s="32">
        <f>B3-B8</f>
        <v>0</v>
      </c>
      <c r="C9" s="32">
        <f aca="true" t="shared" si="4" ref="C9:M9">B9+C3-C8</f>
        <v>0</v>
      </c>
      <c r="D9" s="32">
        <f t="shared" si="4"/>
        <v>0</v>
      </c>
      <c r="E9" s="32">
        <f t="shared" si="4"/>
        <v>0</v>
      </c>
      <c r="F9" s="32">
        <f t="shared" si="4"/>
        <v>0</v>
      </c>
      <c r="G9" s="32">
        <f t="shared" si="4"/>
        <v>0</v>
      </c>
      <c r="H9" s="32">
        <f t="shared" si="4"/>
        <v>0</v>
      </c>
      <c r="I9" s="32">
        <f t="shared" si="4"/>
        <v>0</v>
      </c>
      <c r="J9" s="32">
        <f t="shared" si="4"/>
        <v>0</v>
      </c>
      <c r="K9" s="32">
        <f t="shared" si="4"/>
        <v>0</v>
      </c>
      <c r="L9" s="32">
        <f t="shared" si="4"/>
        <v>0</v>
      </c>
      <c r="M9" s="32">
        <f t="shared" si="4"/>
        <v>0</v>
      </c>
      <c r="N9" s="32">
        <f>M9</f>
        <v>0</v>
      </c>
      <c r="O9" s="32">
        <f aca="true" t="shared" si="5" ref="O9:Z9">N9+O3-O8</f>
        <v>0</v>
      </c>
      <c r="P9" s="32">
        <f t="shared" si="5"/>
        <v>0</v>
      </c>
      <c r="Q9" s="32">
        <f t="shared" si="5"/>
        <v>0</v>
      </c>
      <c r="R9" s="32">
        <f t="shared" si="5"/>
        <v>0</v>
      </c>
      <c r="S9" s="32">
        <f t="shared" si="5"/>
        <v>0</v>
      </c>
      <c r="T9" s="32">
        <f t="shared" si="5"/>
        <v>0</v>
      </c>
      <c r="U9" s="32">
        <f t="shared" si="5"/>
        <v>0</v>
      </c>
      <c r="V9" s="32">
        <f t="shared" si="5"/>
        <v>0</v>
      </c>
      <c r="W9" s="32">
        <f t="shared" si="5"/>
        <v>0</v>
      </c>
      <c r="X9" s="32">
        <f t="shared" si="5"/>
        <v>0</v>
      </c>
      <c r="Y9" s="32">
        <f t="shared" si="5"/>
        <v>0</v>
      </c>
      <c r="Z9" s="32">
        <f t="shared" si="5"/>
        <v>0</v>
      </c>
      <c r="AA9" s="32">
        <f>Z9</f>
        <v>0</v>
      </c>
      <c r="AB9" s="32">
        <f>AB5*AB6/360</f>
        <v>0</v>
      </c>
      <c r="AC9" s="32">
        <f>AC5*AC6/360</f>
        <v>0</v>
      </c>
      <c r="AD9" s="32">
        <f>AD5*AD6/360</f>
        <v>0</v>
      </c>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82" customFormat="1" ht="12.7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30" s="140" customFormat="1" ht="15">
      <c r="A11" s="80" t="s">
        <v>86</v>
      </c>
      <c r="B11" s="80">
        <f aca="true" t="shared" si="6" ref="B11:AD11">B9</f>
        <v>0</v>
      </c>
      <c r="C11" s="80">
        <f t="shared" si="6"/>
        <v>0</v>
      </c>
      <c r="D11" s="80">
        <f t="shared" si="6"/>
        <v>0</v>
      </c>
      <c r="E11" s="80">
        <f t="shared" si="6"/>
        <v>0</v>
      </c>
      <c r="F11" s="80">
        <f t="shared" si="6"/>
        <v>0</v>
      </c>
      <c r="G11" s="80">
        <f t="shared" si="6"/>
        <v>0</v>
      </c>
      <c r="H11" s="80">
        <f t="shared" si="6"/>
        <v>0</v>
      </c>
      <c r="I11" s="80">
        <f t="shared" si="6"/>
        <v>0</v>
      </c>
      <c r="J11" s="80">
        <f t="shared" si="6"/>
        <v>0</v>
      </c>
      <c r="K11" s="80">
        <f t="shared" si="6"/>
        <v>0</v>
      </c>
      <c r="L11" s="80">
        <f t="shared" si="6"/>
        <v>0</v>
      </c>
      <c r="M11" s="80">
        <f t="shared" si="6"/>
        <v>0</v>
      </c>
      <c r="N11" s="80">
        <f t="shared" si="6"/>
        <v>0</v>
      </c>
      <c r="O11" s="80">
        <f t="shared" si="6"/>
        <v>0</v>
      </c>
      <c r="P11" s="80">
        <f t="shared" si="6"/>
        <v>0</v>
      </c>
      <c r="Q11" s="80">
        <f t="shared" si="6"/>
        <v>0</v>
      </c>
      <c r="R11" s="80">
        <f t="shared" si="6"/>
        <v>0</v>
      </c>
      <c r="S11" s="80">
        <f t="shared" si="6"/>
        <v>0</v>
      </c>
      <c r="T11" s="80">
        <f t="shared" si="6"/>
        <v>0</v>
      </c>
      <c r="U11" s="80">
        <f t="shared" si="6"/>
        <v>0</v>
      </c>
      <c r="V11" s="80">
        <f t="shared" si="6"/>
        <v>0</v>
      </c>
      <c r="W11" s="80">
        <f t="shared" si="6"/>
        <v>0</v>
      </c>
      <c r="X11" s="80">
        <f t="shared" si="6"/>
        <v>0</v>
      </c>
      <c r="Y11" s="80">
        <f t="shared" si="6"/>
        <v>0</v>
      </c>
      <c r="Z11" s="80">
        <f t="shared" si="6"/>
        <v>0</v>
      </c>
      <c r="AA11" s="80">
        <f t="shared" si="6"/>
        <v>0</v>
      </c>
      <c r="AB11" s="80">
        <f t="shared" si="6"/>
        <v>0</v>
      </c>
      <c r="AC11" s="80">
        <f t="shared" si="6"/>
        <v>0</v>
      </c>
      <c r="AD11" s="80">
        <f t="shared" si="6"/>
        <v>0</v>
      </c>
    </row>
    <row r="12" spans="1:256" s="80" customFormat="1" ht="15">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4" spans="1:30" ht="12.75" customHeight="1">
      <c r="A14" s="47" t="s">
        <v>188</v>
      </c>
      <c r="B14" s="47">
        <f>'Costo de Ventas'!B11</f>
        <v>10000</v>
      </c>
      <c r="C14" s="47">
        <f>'Costo de Ventas'!C11</f>
        <v>10000</v>
      </c>
      <c r="D14" s="47">
        <f>'Costo de Ventas'!D11</f>
        <v>10000</v>
      </c>
      <c r="E14" s="47">
        <f>'Costo de Ventas'!E11</f>
        <v>10000</v>
      </c>
      <c r="F14" s="47">
        <f>'Costo de Ventas'!F11</f>
        <v>10000</v>
      </c>
      <c r="G14" s="47">
        <f>'Costo de Ventas'!G11</f>
        <v>10000</v>
      </c>
      <c r="H14" s="47">
        <f>'Costo de Ventas'!H11</f>
        <v>10000</v>
      </c>
      <c r="I14" s="47">
        <f>'Costo de Ventas'!I11</f>
        <v>10000</v>
      </c>
      <c r="J14" s="47">
        <f>'Costo de Ventas'!J11</f>
        <v>10000</v>
      </c>
      <c r="K14" s="47">
        <f>'Costo de Ventas'!K11</f>
        <v>10000</v>
      </c>
      <c r="L14" s="47">
        <f>'Costo de Ventas'!L11</f>
        <v>10000</v>
      </c>
      <c r="M14" s="47">
        <f>'Costo de Ventas'!M11</f>
        <v>10000</v>
      </c>
      <c r="N14" s="47">
        <f>'Costo de Ventas'!N11</f>
        <v>120000</v>
      </c>
      <c r="O14" s="47">
        <f>'Costo de Ventas'!O11</f>
        <v>13500</v>
      </c>
      <c r="P14" s="47">
        <f>'Costo de Ventas'!P11</f>
        <v>13500</v>
      </c>
      <c r="Q14" s="47">
        <f>'Costo de Ventas'!Q11</f>
        <v>13500</v>
      </c>
      <c r="R14" s="47">
        <f>'Costo de Ventas'!R11</f>
        <v>13500</v>
      </c>
      <c r="S14" s="47">
        <f>'Costo de Ventas'!S11</f>
        <v>13500</v>
      </c>
      <c r="T14" s="47">
        <f>'Costo de Ventas'!T11</f>
        <v>13500</v>
      </c>
      <c r="U14" s="47">
        <f>'Costo de Ventas'!U11</f>
        <v>13500</v>
      </c>
      <c r="V14" s="47">
        <f>'Costo de Ventas'!V11</f>
        <v>13500</v>
      </c>
      <c r="W14" s="47">
        <f>'Costo de Ventas'!W11</f>
        <v>13500</v>
      </c>
      <c r="X14" s="47">
        <f>'Costo de Ventas'!X11</f>
        <v>13500</v>
      </c>
      <c r="Y14" s="47">
        <f>'Costo de Ventas'!Y11</f>
        <v>13500</v>
      </c>
      <c r="Z14" s="47">
        <f>'Costo de Ventas'!Z11</f>
        <v>13500</v>
      </c>
      <c r="AA14" s="47">
        <f>'Costo de Ventas'!AA11</f>
        <v>162000</v>
      </c>
      <c r="AB14" s="47">
        <f>'Costo de Ventas'!AB11</f>
        <v>178290</v>
      </c>
      <c r="AC14" s="47">
        <f>'Costo de Ventas'!AC11</f>
        <v>207200</v>
      </c>
      <c r="AD14" s="47">
        <f>'Costo de Ventas'!AD11</f>
        <v>259979.99999999997</v>
      </c>
    </row>
    <row r="15" spans="1:30" s="58" customFormat="1" ht="12.75" customHeight="1">
      <c r="A15" s="32" t="s">
        <v>50</v>
      </c>
      <c r="B15" s="32">
        <f>'Costo de Ventas'!B18+IF(B17&lt;30,'Costo de Ventas'!B19*(30-B17)/30,0)</f>
        <v>10000</v>
      </c>
      <c r="C15" s="32">
        <f>'Costo de Ventas'!C18+IF(C17&lt;30,'Costo de Ventas'!C19*(30-C17)/30,0)</f>
        <v>10000</v>
      </c>
      <c r="D15" s="32">
        <f>'Costo de Ventas'!D18+IF(D17&lt;30,'Costo de Ventas'!D19*(30-D17)/30,0)</f>
        <v>10000</v>
      </c>
      <c r="E15" s="32">
        <f>'Costo de Ventas'!E18+IF(E17&lt;30,'Costo de Ventas'!E19*(30-E17)/30,0)</f>
        <v>10000</v>
      </c>
      <c r="F15" s="32">
        <f>'Costo de Ventas'!F18+IF(F17&lt;30,'Costo de Ventas'!F19*(30-F17)/30,0)</f>
        <v>10000</v>
      </c>
      <c r="G15" s="32">
        <f>'Costo de Ventas'!G18+IF(G17&lt;30,'Costo de Ventas'!G19*(30-G17)/30,0)</f>
        <v>10000</v>
      </c>
      <c r="H15" s="32">
        <f>'Costo de Ventas'!H18+IF(H17&lt;30,'Costo de Ventas'!H19*(30-H17)/30,0)</f>
        <v>10000</v>
      </c>
      <c r="I15" s="32">
        <f>'Costo de Ventas'!I18+IF(I17&lt;30,'Costo de Ventas'!I19*(30-I17)/30,0)</f>
        <v>10000</v>
      </c>
      <c r="J15" s="32">
        <f>'Costo de Ventas'!J18+IF(J17&lt;30,'Costo de Ventas'!J19*(30-J17)/30,0)</f>
        <v>10000</v>
      </c>
      <c r="K15" s="32">
        <f>'Costo de Ventas'!K18+IF(K17&lt;30,'Costo de Ventas'!K19*(30-K17)/30,0)</f>
        <v>10000</v>
      </c>
      <c r="L15" s="32">
        <f>'Costo de Ventas'!L18+IF(L17&lt;30,'Costo de Ventas'!L19*(30-L17)/30,0)</f>
        <v>10000</v>
      </c>
      <c r="M15" s="32">
        <f>'Costo de Ventas'!M18+IF(M17&lt;30,'Costo de Ventas'!M19*(30-M17)/30,0)</f>
        <v>10000</v>
      </c>
      <c r="N15" s="32">
        <f>SUM(B15:M15)</f>
        <v>120000</v>
      </c>
      <c r="O15" s="32">
        <f>'Costo de Ventas'!O18+IF(O17&lt;30,'Costo de Ventas'!O19*(30-O17)/30,0)</f>
        <v>13500</v>
      </c>
      <c r="P15" s="32">
        <f>'Costo de Ventas'!P18+IF(P17&lt;30,'Costo de Ventas'!P19*(30-P17)/30,0)</f>
        <v>13500</v>
      </c>
      <c r="Q15" s="32">
        <f>'Costo de Ventas'!Q18+IF(Q17&lt;30,'Costo de Ventas'!Q19*(30-Q17)/30,0)</f>
        <v>13500</v>
      </c>
      <c r="R15" s="32">
        <f>'Costo de Ventas'!R18+IF(R17&lt;30,'Costo de Ventas'!R19*(30-R17)/30,0)</f>
        <v>13500</v>
      </c>
      <c r="S15" s="32">
        <f>'Costo de Ventas'!S18+IF(S17&lt;30,'Costo de Ventas'!S19*(30-S17)/30,0)</f>
        <v>13500</v>
      </c>
      <c r="T15" s="32">
        <f>'Costo de Ventas'!T18+IF(T17&lt;30,'Costo de Ventas'!T19*(30-T17)/30,0)</f>
        <v>13500</v>
      </c>
      <c r="U15" s="32">
        <f>'Costo de Ventas'!U18+IF(U17&lt;30,'Costo de Ventas'!U19*(30-U17)/30,0)</f>
        <v>13500</v>
      </c>
      <c r="V15" s="32">
        <f>'Costo de Ventas'!V18+IF(V17&lt;30,'Costo de Ventas'!V19*(30-V17)/30,0)</f>
        <v>13500</v>
      </c>
      <c r="W15" s="32">
        <f>'Costo de Ventas'!W18+IF(W17&lt;30,'Costo de Ventas'!W19*(30-W17)/30,0)</f>
        <v>13500</v>
      </c>
      <c r="X15" s="32">
        <f>'Costo de Ventas'!X18+IF(X17&lt;30,'Costo de Ventas'!X19*(30-X17)/30,0)</f>
        <v>13500</v>
      </c>
      <c r="Y15" s="32">
        <f>'Costo de Ventas'!Y18+IF(Y17&lt;30,'Costo de Ventas'!Y19*(30-Y17)/30,0)</f>
        <v>13500</v>
      </c>
      <c r="Z15" s="32">
        <f>'Costo de Ventas'!Z18+IF(Z17&lt;30,'Costo de Ventas'!Z19*(30-Z17)/30,0)</f>
        <v>13500</v>
      </c>
      <c r="AA15" s="32">
        <f>SUM(O15:Z15)</f>
        <v>162000</v>
      </c>
      <c r="AB15" s="32">
        <f>'Costo de Ventas'!AB18</f>
        <v>178290</v>
      </c>
      <c r="AC15" s="32">
        <f>'Costo de Ventas'!AC18</f>
        <v>207200</v>
      </c>
      <c r="AD15" s="32">
        <f>'Costo de Ventas'!AD18</f>
        <v>259979.99999999997</v>
      </c>
    </row>
    <row r="16" spans="1:256" s="82" customFormat="1" ht="12.75" customHeight="1">
      <c r="A16" s="32" t="s">
        <v>148</v>
      </c>
      <c r="B16" s="32">
        <f>'Costo de Ventas'!B19*IF(B17&lt;30,B17/30,1)</f>
        <v>0</v>
      </c>
      <c r="C16" s="32">
        <f>'Costo de Ventas'!C19*IF(C17&lt;30,C17/30,1)</f>
        <v>0</v>
      </c>
      <c r="D16" s="32">
        <f>'Costo de Ventas'!D19*IF(D17&lt;30,D17/30,1)</f>
        <v>0</v>
      </c>
      <c r="E16" s="32">
        <f>'Costo de Ventas'!E19*IF(E17&lt;30,E17/30,1)</f>
        <v>0</v>
      </c>
      <c r="F16" s="32">
        <f>'Costo de Ventas'!F19*IF(F17&lt;30,F17/30,1)</f>
        <v>0</v>
      </c>
      <c r="G16" s="32">
        <f>'Costo de Ventas'!G19*IF(G17&lt;30,G17/30,1)</f>
        <v>0</v>
      </c>
      <c r="H16" s="32">
        <f>'Costo de Ventas'!H19*IF(H17&lt;30,H17/30,1)</f>
        <v>0</v>
      </c>
      <c r="I16" s="32">
        <f>'Costo de Ventas'!I19*IF(I17&lt;30,I17/30,1)</f>
        <v>0</v>
      </c>
      <c r="J16" s="32">
        <f>'Costo de Ventas'!J19*IF(J17&lt;30,J17/30,1)</f>
        <v>0</v>
      </c>
      <c r="K16" s="32">
        <f>'Costo de Ventas'!K19*IF(K17&lt;30,K17/30,1)</f>
        <v>0</v>
      </c>
      <c r="L16" s="32">
        <f>'Costo de Ventas'!L19*IF(L17&lt;30,L17/30,1)</f>
        <v>0</v>
      </c>
      <c r="M16" s="32">
        <f>'Costo de Ventas'!M19*IF(M17&lt;30,M17/30,1)</f>
        <v>0</v>
      </c>
      <c r="N16" s="32">
        <f>SUM(B16:M16)</f>
        <v>0</v>
      </c>
      <c r="O16" s="32">
        <f>'Costo de Ventas'!O19*IF(O17&lt;30,O17/30,1)</f>
        <v>0</v>
      </c>
      <c r="P16" s="32">
        <f>'Costo de Ventas'!P19*IF(P17&lt;30,P17/30,1)</f>
        <v>0</v>
      </c>
      <c r="Q16" s="32">
        <f>'Costo de Ventas'!Q19*IF(Q17&lt;30,Q17/30,1)</f>
        <v>0</v>
      </c>
      <c r="R16" s="32">
        <f>'Costo de Ventas'!R19*IF(R17&lt;30,R17/30,1)</f>
        <v>0</v>
      </c>
      <c r="S16" s="32">
        <f>'Costo de Ventas'!S19*IF(S17&lt;30,S17/30,1)</f>
        <v>0</v>
      </c>
      <c r="T16" s="32">
        <f>'Costo de Ventas'!T19*IF(T17&lt;30,T17/30,1)</f>
        <v>0</v>
      </c>
      <c r="U16" s="32">
        <f>'Costo de Ventas'!U19*IF(U17&lt;30,U17/30,1)</f>
        <v>0</v>
      </c>
      <c r="V16" s="32">
        <f>'Costo de Ventas'!V19*IF(V17&lt;30,V17/30,1)</f>
        <v>0</v>
      </c>
      <c r="W16" s="32">
        <f>'Costo de Ventas'!W19*IF(W17&lt;30,W17/30,1)</f>
        <v>0</v>
      </c>
      <c r="X16" s="32">
        <f>'Costo de Ventas'!X19*IF(X17&lt;30,X17/30,1)</f>
        <v>0</v>
      </c>
      <c r="Y16" s="32">
        <f>'Costo de Ventas'!Y19*IF(Y17&lt;30,Y17/30,1)</f>
        <v>0</v>
      </c>
      <c r="Z16" s="32">
        <f>'Costo de Ventas'!Z19*IF(Z17&lt;30,Z17/30,1)</f>
        <v>0</v>
      </c>
      <c r="AA16" s="32">
        <f>SUM(O16:Z16)</f>
        <v>0</v>
      </c>
      <c r="AB16" s="32">
        <f>'Costo de Ventas'!AB19</f>
        <v>0</v>
      </c>
      <c r="AC16" s="32">
        <f>'Costo de Ventas'!AC19</f>
        <v>0</v>
      </c>
      <c r="AD16" s="32">
        <f>'Costo de Ventas'!AD19</f>
        <v>0</v>
      </c>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82" customFormat="1" ht="12.75" customHeight="1">
      <c r="A17" s="32" t="s">
        <v>65</v>
      </c>
      <c r="B17" s="41">
        <f>'Costo de Ventas'!B20</f>
        <v>0</v>
      </c>
      <c r="C17" s="41">
        <f>'Costo de Ventas'!C20</f>
        <v>0</v>
      </c>
      <c r="D17" s="41">
        <f>'Costo de Ventas'!D20</f>
        <v>0</v>
      </c>
      <c r="E17" s="41">
        <f>'Costo de Ventas'!E20</f>
        <v>0</v>
      </c>
      <c r="F17" s="41">
        <f>'Costo de Ventas'!F20</f>
        <v>0</v>
      </c>
      <c r="G17" s="41">
        <f>'Costo de Ventas'!G20</f>
        <v>0</v>
      </c>
      <c r="H17" s="41">
        <f>'Costo de Ventas'!H20</f>
        <v>0</v>
      </c>
      <c r="I17" s="41">
        <f>'Costo de Ventas'!I20</f>
        <v>0</v>
      </c>
      <c r="J17" s="41">
        <f>'Costo de Ventas'!J20</f>
        <v>0</v>
      </c>
      <c r="K17" s="41">
        <f>'Costo de Ventas'!K20</f>
        <v>0</v>
      </c>
      <c r="L17" s="41">
        <f>'Costo de Ventas'!L20</f>
        <v>0</v>
      </c>
      <c r="M17" s="41">
        <f>'Costo de Ventas'!M20</f>
        <v>0</v>
      </c>
      <c r="N17" s="28">
        <f>IF(N16=0,0,N20/N16*360)</f>
        <v>0</v>
      </c>
      <c r="O17" s="41">
        <f>'Costo de Ventas'!O20</f>
        <v>0</v>
      </c>
      <c r="P17" s="41">
        <f>'Costo de Ventas'!P20</f>
        <v>0</v>
      </c>
      <c r="Q17" s="41">
        <f>'Costo de Ventas'!Q20</f>
        <v>0</v>
      </c>
      <c r="R17" s="41">
        <f>'Costo de Ventas'!R20</f>
        <v>0</v>
      </c>
      <c r="S17" s="41">
        <f>'Costo de Ventas'!S20</f>
        <v>0</v>
      </c>
      <c r="T17" s="41">
        <f>'Costo de Ventas'!T20</f>
        <v>0</v>
      </c>
      <c r="U17" s="41">
        <f>'Costo de Ventas'!U20</f>
        <v>0</v>
      </c>
      <c r="V17" s="41">
        <f>'Costo de Ventas'!V20</f>
        <v>0</v>
      </c>
      <c r="W17" s="41">
        <f>'Costo de Ventas'!W20</f>
        <v>0</v>
      </c>
      <c r="X17" s="41">
        <f>'Costo de Ventas'!X20</f>
        <v>0</v>
      </c>
      <c r="Y17" s="41">
        <f>'Costo de Ventas'!Y20</f>
        <v>0</v>
      </c>
      <c r="Z17" s="41">
        <f>'Costo de Ventas'!Z20</f>
        <v>0</v>
      </c>
      <c r="AA17" s="28">
        <f>IF(AA16=0,0,AA20/AA16*360)</f>
        <v>0</v>
      </c>
      <c r="AB17" s="41">
        <f>'Costo de Ventas'!AB20</f>
        <v>0</v>
      </c>
      <c r="AC17" s="41">
        <f>'Costo de Ventas'!AC20</f>
        <v>0</v>
      </c>
      <c r="AD17" s="41">
        <f>'Costo de Ventas'!AD20</f>
        <v>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82" customFormat="1" ht="12.75" customHeight="1">
      <c r="A18" s="32" t="s">
        <v>225</v>
      </c>
      <c r="B18" s="3">
        <f aca="true" t="shared" si="7" ref="B18:M18">ROUNDUP(B$54+MAX(1,(B17-15)/30),0)</f>
        <v>2</v>
      </c>
      <c r="C18" s="3">
        <f t="shared" si="7"/>
        <v>3</v>
      </c>
      <c r="D18" s="3">
        <f t="shared" si="7"/>
        <v>4</v>
      </c>
      <c r="E18" s="3">
        <f t="shared" si="7"/>
        <v>5</v>
      </c>
      <c r="F18" s="3">
        <f t="shared" si="7"/>
        <v>6</v>
      </c>
      <c r="G18" s="3">
        <f t="shared" si="7"/>
        <v>7</v>
      </c>
      <c r="H18" s="3">
        <f t="shared" si="7"/>
        <v>8</v>
      </c>
      <c r="I18" s="3">
        <f t="shared" si="7"/>
        <v>9</v>
      </c>
      <c r="J18" s="3">
        <f t="shared" si="7"/>
        <v>10</v>
      </c>
      <c r="K18" s="3">
        <f t="shared" si="7"/>
        <v>11</v>
      </c>
      <c r="L18" s="3">
        <f t="shared" si="7"/>
        <v>12</v>
      </c>
      <c r="M18" s="3">
        <f t="shared" si="7"/>
        <v>13</v>
      </c>
      <c r="N18" s="3"/>
      <c r="O18" s="3">
        <f aca="true" t="shared" si="8" ref="O18:Z18">ROUNDUP(O$54+MAX(1,(O17-15)/30),0)</f>
        <v>14</v>
      </c>
      <c r="P18" s="3">
        <f t="shared" si="8"/>
        <v>15</v>
      </c>
      <c r="Q18" s="3">
        <f t="shared" si="8"/>
        <v>16</v>
      </c>
      <c r="R18" s="3">
        <f t="shared" si="8"/>
        <v>17</v>
      </c>
      <c r="S18" s="3">
        <f t="shared" si="8"/>
        <v>18</v>
      </c>
      <c r="T18" s="3">
        <f t="shared" si="8"/>
        <v>19</v>
      </c>
      <c r="U18" s="3">
        <f t="shared" si="8"/>
        <v>20</v>
      </c>
      <c r="V18" s="3">
        <f t="shared" si="8"/>
        <v>21</v>
      </c>
      <c r="W18" s="3">
        <f t="shared" si="8"/>
        <v>22</v>
      </c>
      <c r="X18" s="3">
        <f t="shared" si="8"/>
        <v>23</v>
      </c>
      <c r="Y18" s="3">
        <f t="shared" si="8"/>
        <v>24</v>
      </c>
      <c r="Z18" s="3">
        <f t="shared" si="8"/>
        <v>25</v>
      </c>
      <c r="AA18" s="3"/>
      <c r="AB18" s="3"/>
      <c r="AC18" s="3"/>
      <c r="AD18" s="3"/>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82" customFormat="1" ht="12.75" customHeight="1">
      <c r="A19" s="32" t="s">
        <v>138</v>
      </c>
      <c r="B19" s="32">
        <f>B15+SUMIF($B18:B18,B$54,$B16:B16)</f>
        <v>10000</v>
      </c>
      <c r="C19" s="32">
        <f>C15+SUMIF($B18:C18,C$54,$B16:C16)</f>
        <v>10000</v>
      </c>
      <c r="D19" s="32">
        <f>D15+SUMIF($B18:D18,D$54,$B16:D16)</f>
        <v>10000</v>
      </c>
      <c r="E19" s="32">
        <f>E15+SUMIF($B18:E18,E$54,$B16:E16)</f>
        <v>10000</v>
      </c>
      <c r="F19" s="32">
        <f>F15+SUMIF($B18:F18,F$54,$B16:F16)</f>
        <v>10000</v>
      </c>
      <c r="G19" s="32">
        <f>G15+SUMIF($B18:G18,G$54,$B16:G16)</f>
        <v>10000</v>
      </c>
      <c r="H19" s="32">
        <f>H15+SUMIF($B18:H18,H$54,$B16:H16)</f>
        <v>10000</v>
      </c>
      <c r="I19" s="32">
        <f>I15+SUMIF($B18:I18,I$54,$B16:I16)</f>
        <v>10000</v>
      </c>
      <c r="J19" s="32">
        <f>J15+SUMIF($B18:J18,J$54,$B16:J16)</f>
        <v>10000</v>
      </c>
      <c r="K19" s="32">
        <f>K15+SUMIF($B18:K18,K$54,$B16:K16)</f>
        <v>10000</v>
      </c>
      <c r="L19" s="32">
        <f>L15+SUMIF($B18:L18,L$54,$B16:L16)</f>
        <v>10000</v>
      </c>
      <c r="M19" s="32">
        <f>M15+SUMIF($B18:M18,M$54,$B16:M16)</f>
        <v>10000</v>
      </c>
      <c r="N19" s="32">
        <f>SUM(B19:M19)</f>
        <v>120000</v>
      </c>
      <c r="O19" s="32">
        <f>O15+SUMIF($B18:O18,O$54,$B16:O16)</f>
        <v>13500</v>
      </c>
      <c r="P19" s="32">
        <f>P15+SUMIF($B18:P18,P$54,$B16:P16)</f>
        <v>13500</v>
      </c>
      <c r="Q19" s="32">
        <f>Q15+SUMIF($B18:Q18,Q$54,$B16:Q16)</f>
        <v>13500</v>
      </c>
      <c r="R19" s="32">
        <f>R15+SUMIF($B18:R18,R$54,$B16:R16)</f>
        <v>13500</v>
      </c>
      <c r="S19" s="32">
        <f>S15+SUMIF($B18:S18,S$54,$B16:S16)</f>
        <v>13500</v>
      </c>
      <c r="T19" s="32">
        <f>T15+SUMIF($B18:T18,T$54,$B16:T16)</f>
        <v>13500</v>
      </c>
      <c r="U19" s="32">
        <f>U15+SUMIF($B18:U18,U$54,$B16:U16)</f>
        <v>13500</v>
      </c>
      <c r="V19" s="32">
        <f>V15+SUMIF($B18:V18,V$54,$B16:V16)</f>
        <v>13500</v>
      </c>
      <c r="W19" s="32">
        <f>W15+SUMIF($B18:W18,W$54,$B16:W16)</f>
        <v>13500</v>
      </c>
      <c r="X19" s="32">
        <f>X15+SUMIF($B18:X18,X$54,$B16:X16)</f>
        <v>13500</v>
      </c>
      <c r="Y19" s="32">
        <f>Y15+SUMIF($B18:Y18,Y$54,$B16:Y16)</f>
        <v>13500</v>
      </c>
      <c r="Z19" s="32">
        <f>Z15+SUMIF($B18:Z18,Z$54,$B16:Z16)</f>
        <v>13500</v>
      </c>
      <c r="AA19" s="32">
        <f>SUM(O19:Z19)</f>
        <v>162000</v>
      </c>
      <c r="AB19" s="32">
        <f>AA20+AB14-AB20</f>
        <v>178290</v>
      </c>
      <c r="AC19" s="32">
        <f>AB20+AC14-AC20</f>
        <v>207200</v>
      </c>
      <c r="AD19" s="32">
        <f>AC20+AD14-AD20</f>
        <v>259979.99999999997</v>
      </c>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82" customFormat="1" ht="12.75" customHeight="1">
      <c r="A20" s="32" t="s">
        <v>193</v>
      </c>
      <c r="B20" s="32">
        <f>B14-B19</f>
        <v>0</v>
      </c>
      <c r="C20" s="32">
        <f aca="true" t="shared" si="9" ref="C20:M20">B20+C14-C19</f>
        <v>0</v>
      </c>
      <c r="D20" s="32">
        <f t="shared" si="9"/>
        <v>0</v>
      </c>
      <c r="E20" s="32">
        <f t="shared" si="9"/>
        <v>0</v>
      </c>
      <c r="F20" s="32">
        <f t="shared" si="9"/>
        <v>0</v>
      </c>
      <c r="G20" s="32">
        <f t="shared" si="9"/>
        <v>0</v>
      </c>
      <c r="H20" s="32">
        <f t="shared" si="9"/>
        <v>0</v>
      </c>
      <c r="I20" s="32">
        <f t="shared" si="9"/>
        <v>0</v>
      </c>
      <c r="J20" s="32">
        <f t="shared" si="9"/>
        <v>0</v>
      </c>
      <c r="K20" s="32">
        <f t="shared" si="9"/>
        <v>0</v>
      </c>
      <c r="L20" s="32">
        <f t="shared" si="9"/>
        <v>0</v>
      </c>
      <c r="M20" s="32">
        <f t="shared" si="9"/>
        <v>0</v>
      </c>
      <c r="N20" s="32">
        <f>M20</f>
        <v>0</v>
      </c>
      <c r="O20" s="32">
        <f aca="true" t="shared" si="10" ref="O20:Z20">N20+O14-O19</f>
        <v>0</v>
      </c>
      <c r="P20" s="32">
        <f t="shared" si="10"/>
        <v>0</v>
      </c>
      <c r="Q20" s="32">
        <f t="shared" si="10"/>
        <v>0</v>
      </c>
      <c r="R20" s="32">
        <f t="shared" si="10"/>
        <v>0</v>
      </c>
      <c r="S20" s="32">
        <f t="shared" si="10"/>
        <v>0</v>
      </c>
      <c r="T20" s="32">
        <f t="shared" si="10"/>
        <v>0</v>
      </c>
      <c r="U20" s="32">
        <f t="shared" si="10"/>
        <v>0</v>
      </c>
      <c r="V20" s="32">
        <f t="shared" si="10"/>
        <v>0</v>
      </c>
      <c r="W20" s="32">
        <f t="shared" si="10"/>
        <v>0</v>
      </c>
      <c r="X20" s="32">
        <f t="shared" si="10"/>
        <v>0</v>
      </c>
      <c r="Y20" s="32">
        <f t="shared" si="10"/>
        <v>0</v>
      </c>
      <c r="Z20" s="32">
        <f t="shared" si="10"/>
        <v>0</v>
      </c>
      <c r="AA20" s="32">
        <f>Z20</f>
        <v>0</v>
      </c>
      <c r="AB20" s="32">
        <f>AB16*AB17/360</f>
        <v>0</v>
      </c>
      <c r="AC20" s="32">
        <f>AC16*AC17/360</f>
        <v>0</v>
      </c>
      <c r="AD20" s="32">
        <f>AD16*AD17/360</f>
        <v>0</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82" customFormat="1"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82" customFormat="1"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30" ht="12.75" customHeight="1">
      <c r="A23" s="47" t="s">
        <v>164</v>
      </c>
      <c r="B23" s="47">
        <f>'Gastos Fijos'!B10</f>
        <v>750</v>
      </c>
      <c r="C23" s="47">
        <f>'Gastos Fijos'!C10</f>
        <v>750</v>
      </c>
      <c r="D23" s="47">
        <f>'Gastos Fijos'!D10</f>
        <v>750</v>
      </c>
      <c r="E23" s="47">
        <f>'Gastos Fijos'!E10</f>
        <v>750</v>
      </c>
      <c r="F23" s="47">
        <f>'Gastos Fijos'!F10</f>
        <v>750</v>
      </c>
      <c r="G23" s="47">
        <f>'Gastos Fijos'!G10</f>
        <v>750</v>
      </c>
      <c r="H23" s="47">
        <f>'Gastos Fijos'!H10</f>
        <v>750</v>
      </c>
      <c r="I23" s="47">
        <f>'Gastos Fijos'!I10</f>
        <v>750</v>
      </c>
      <c r="J23" s="47">
        <f>'Gastos Fijos'!J10</f>
        <v>750</v>
      </c>
      <c r="K23" s="47">
        <f>'Gastos Fijos'!K10</f>
        <v>750</v>
      </c>
      <c r="L23" s="47">
        <f>'Gastos Fijos'!L10</f>
        <v>750</v>
      </c>
      <c r="M23" s="47">
        <f>'Gastos Fijos'!M10</f>
        <v>750</v>
      </c>
      <c r="N23" s="47">
        <f>'Gastos Fijos'!N10</f>
        <v>9000</v>
      </c>
      <c r="O23" s="47">
        <f>'Gastos Fijos'!O10</f>
        <v>800</v>
      </c>
      <c r="P23" s="47">
        <f>'Gastos Fijos'!P10</f>
        <v>800</v>
      </c>
      <c r="Q23" s="47">
        <f>'Gastos Fijos'!Q10</f>
        <v>800</v>
      </c>
      <c r="R23" s="47">
        <f>'Gastos Fijos'!R10</f>
        <v>800</v>
      </c>
      <c r="S23" s="47">
        <f>'Gastos Fijos'!S10</f>
        <v>800</v>
      </c>
      <c r="T23" s="47">
        <f>'Gastos Fijos'!T10</f>
        <v>800</v>
      </c>
      <c r="U23" s="47">
        <f>'Gastos Fijos'!U10</f>
        <v>800</v>
      </c>
      <c r="V23" s="47">
        <f>'Gastos Fijos'!V10</f>
        <v>800</v>
      </c>
      <c r="W23" s="47">
        <f>'Gastos Fijos'!W10</f>
        <v>800</v>
      </c>
      <c r="X23" s="47">
        <f>'Gastos Fijos'!X10</f>
        <v>800</v>
      </c>
      <c r="Y23" s="47">
        <f>'Gastos Fijos'!Y10</f>
        <v>800</v>
      </c>
      <c r="Z23" s="47">
        <f>'Gastos Fijos'!Z10</f>
        <v>800</v>
      </c>
      <c r="AA23" s="47">
        <f>'Gastos Fijos'!AA10</f>
        <v>9600</v>
      </c>
      <c r="AB23" s="47">
        <f>'Gastos Fijos'!AB10</f>
        <v>10170</v>
      </c>
      <c r="AC23" s="47">
        <f>'Gastos Fijos'!AC10</f>
        <v>10778</v>
      </c>
      <c r="AD23" s="47">
        <f>'Gastos Fijos'!AD10</f>
        <v>11426</v>
      </c>
    </row>
    <row r="24" spans="1:30" ht="12.75" customHeight="1">
      <c r="A24" s="32" t="s">
        <v>50</v>
      </c>
      <c r="B24" s="32">
        <f>'Gastos Fijos'!B15+IF(B26&lt;30,'Gastos Fijos'!B16*(30-B26)/30,0)</f>
        <v>750</v>
      </c>
      <c r="C24" s="32">
        <f>'Gastos Fijos'!C15+IF(C26&lt;30,'Gastos Fijos'!C16*(30-C26)/30,0)</f>
        <v>750</v>
      </c>
      <c r="D24" s="32">
        <f>'Gastos Fijos'!D15+IF(D26&lt;30,'Gastos Fijos'!D16*(30-D26)/30,0)</f>
        <v>750</v>
      </c>
      <c r="E24" s="32">
        <f>'Gastos Fijos'!E15+IF(E26&lt;30,'Gastos Fijos'!E16*(30-E26)/30,0)</f>
        <v>750</v>
      </c>
      <c r="F24" s="32">
        <f>'Gastos Fijos'!F15+IF(F26&lt;30,'Gastos Fijos'!F16*(30-F26)/30,0)</f>
        <v>750</v>
      </c>
      <c r="G24" s="32">
        <f>'Gastos Fijos'!G15+IF(G26&lt;30,'Gastos Fijos'!G16*(30-G26)/30,0)</f>
        <v>750</v>
      </c>
      <c r="H24" s="32">
        <f>'Gastos Fijos'!H15+IF(H26&lt;30,'Gastos Fijos'!H16*(30-H26)/30,0)</f>
        <v>750</v>
      </c>
      <c r="I24" s="32">
        <f>'Gastos Fijos'!I15+IF(I26&lt;30,'Gastos Fijos'!I16*(30-I26)/30,0)</f>
        <v>750</v>
      </c>
      <c r="J24" s="32">
        <f>'Gastos Fijos'!J15+IF(J26&lt;30,'Gastos Fijos'!J16*(30-J26)/30,0)</f>
        <v>750</v>
      </c>
      <c r="K24" s="32">
        <f>'Gastos Fijos'!K15+IF(K26&lt;30,'Gastos Fijos'!K16*(30-K26)/30,0)</f>
        <v>750</v>
      </c>
      <c r="L24" s="32">
        <f>'Gastos Fijos'!L15+IF(L26&lt;30,'Gastos Fijos'!L16*(30-L26)/30,0)</f>
        <v>750</v>
      </c>
      <c r="M24" s="32">
        <f>'Gastos Fijos'!M15+IF(M26&lt;30,'Gastos Fijos'!M16*(30-M26)/30,0)</f>
        <v>750</v>
      </c>
      <c r="N24" s="32">
        <f>SUM(B24:M24)</f>
        <v>9000</v>
      </c>
      <c r="O24" s="32">
        <f>'Gastos Fijos'!O15+IF(O26&lt;30,'Gastos Fijos'!O16*(30-O26)/30,0)</f>
        <v>800</v>
      </c>
      <c r="P24" s="32">
        <f>'Gastos Fijos'!P15+IF(P26&lt;30,'Gastos Fijos'!P16*(30-P26)/30,0)</f>
        <v>800</v>
      </c>
      <c r="Q24" s="32">
        <f>'Gastos Fijos'!Q15+IF(Q26&lt;30,'Gastos Fijos'!Q16*(30-Q26)/30,0)</f>
        <v>800</v>
      </c>
      <c r="R24" s="32">
        <f>'Gastos Fijos'!R15+IF(R26&lt;30,'Gastos Fijos'!R16*(30-R26)/30,0)</f>
        <v>800</v>
      </c>
      <c r="S24" s="32">
        <f>'Gastos Fijos'!S15+IF(S26&lt;30,'Gastos Fijos'!S16*(30-S26)/30,0)</f>
        <v>800</v>
      </c>
      <c r="T24" s="32">
        <f>'Gastos Fijos'!T15+IF(T26&lt;30,'Gastos Fijos'!T16*(30-T26)/30,0)</f>
        <v>800</v>
      </c>
      <c r="U24" s="32">
        <f>'Gastos Fijos'!U15+IF(U26&lt;30,'Gastos Fijos'!U16*(30-U26)/30,0)</f>
        <v>800</v>
      </c>
      <c r="V24" s="32">
        <f>'Gastos Fijos'!V15+IF(V26&lt;30,'Gastos Fijos'!V16*(30-V26)/30,0)</f>
        <v>800</v>
      </c>
      <c r="W24" s="32">
        <f>'Gastos Fijos'!W15+IF(W26&lt;30,'Gastos Fijos'!W16*(30-W26)/30,0)</f>
        <v>800</v>
      </c>
      <c r="X24" s="32">
        <f>'Gastos Fijos'!X15+IF(X26&lt;30,'Gastos Fijos'!X16*(30-X26)/30,0)</f>
        <v>800</v>
      </c>
      <c r="Y24" s="32">
        <f>'Gastos Fijos'!Y15+IF(Y26&lt;30,'Gastos Fijos'!Y16*(30-Y26)/30,0)</f>
        <v>800</v>
      </c>
      <c r="Z24" s="32">
        <f>'Gastos Fijos'!Z15+IF(Z26&lt;30,'Gastos Fijos'!Z16*(30-Z26)/30,0)</f>
        <v>800</v>
      </c>
      <c r="AA24" s="32">
        <f>SUM(O24:Z24)</f>
        <v>9600</v>
      </c>
      <c r="AB24" s="32">
        <f>'Gastos Fijos'!AB15</f>
        <v>10170</v>
      </c>
      <c r="AC24" s="32">
        <f>'Gastos Fijos'!AC15</f>
        <v>10778</v>
      </c>
      <c r="AD24" s="32">
        <f>'Gastos Fijos'!AD15</f>
        <v>11426</v>
      </c>
    </row>
    <row r="25" spans="1:30" s="58" customFormat="1" ht="12.75" customHeight="1">
      <c r="A25" s="32" t="s">
        <v>148</v>
      </c>
      <c r="B25" s="32">
        <f>'Gastos Fijos'!B16*IF(B26&lt;30,B26/30,1)</f>
        <v>0</v>
      </c>
      <c r="C25" s="32">
        <f>'Gastos Fijos'!C16*IF(C26&lt;30,C26/30,1)</f>
        <v>0</v>
      </c>
      <c r="D25" s="32">
        <f>'Gastos Fijos'!D16*IF(D26&lt;30,D26/30,1)</f>
        <v>0</v>
      </c>
      <c r="E25" s="32">
        <f>'Gastos Fijos'!E16*IF(E26&lt;30,E26/30,1)</f>
        <v>0</v>
      </c>
      <c r="F25" s="32">
        <f>'Gastos Fijos'!F16*IF(F26&lt;30,F26/30,1)</f>
        <v>0</v>
      </c>
      <c r="G25" s="32">
        <f>'Gastos Fijos'!G16*IF(G26&lt;30,G26/30,1)</f>
        <v>0</v>
      </c>
      <c r="H25" s="32">
        <f>'Gastos Fijos'!H16*IF(H26&lt;30,H26/30,1)</f>
        <v>0</v>
      </c>
      <c r="I25" s="32">
        <f>'Gastos Fijos'!I16*IF(I26&lt;30,I26/30,1)</f>
        <v>0</v>
      </c>
      <c r="J25" s="32">
        <f>'Gastos Fijos'!J16*IF(J26&lt;30,J26/30,1)</f>
        <v>0</v>
      </c>
      <c r="K25" s="32">
        <f>'Gastos Fijos'!K16*IF(K26&lt;30,K26/30,1)</f>
        <v>0</v>
      </c>
      <c r="L25" s="32">
        <f>'Gastos Fijos'!L16*IF(L26&lt;30,L26/30,1)</f>
        <v>0</v>
      </c>
      <c r="M25" s="32">
        <f>'Gastos Fijos'!M16*IF(M26&lt;30,M26/30,1)</f>
        <v>0</v>
      </c>
      <c r="N25" s="32">
        <f>SUM(B25:M25)</f>
        <v>0</v>
      </c>
      <c r="O25" s="32">
        <f>'Gastos Fijos'!O16*IF(O26&lt;30,O26/30,1)</f>
        <v>0</v>
      </c>
      <c r="P25" s="32">
        <f>'Gastos Fijos'!P16*IF(P26&lt;30,P26/30,1)</f>
        <v>0</v>
      </c>
      <c r="Q25" s="32">
        <f>'Gastos Fijos'!Q16*IF(Q26&lt;30,Q26/30,1)</f>
        <v>0</v>
      </c>
      <c r="R25" s="32">
        <f>'Gastos Fijos'!R16*IF(R26&lt;30,R26/30,1)</f>
        <v>0</v>
      </c>
      <c r="S25" s="32">
        <f>'Gastos Fijos'!S16*IF(S26&lt;30,S26/30,1)</f>
        <v>0</v>
      </c>
      <c r="T25" s="32">
        <f>'Gastos Fijos'!T16*IF(T26&lt;30,T26/30,1)</f>
        <v>0</v>
      </c>
      <c r="U25" s="32">
        <f>'Gastos Fijos'!U16*IF(U26&lt;30,U26/30,1)</f>
        <v>0</v>
      </c>
      <c r="V25" s="32">
        <f>'Gastos Fijos'!V16*IF(V26&lt;30,V26/30,1)</f>
        <v>0</v>
      </c>
      <c r="W25" s="32">
        <f>'Gastos Fijos'!W16*IF(W26&lt;30,W26/30,1)</f>
        <v>0</v>
      </c>
      <c r="X25" s="32">
        <f>'Gastos Fijos'!X16*IF(X26&lt;30,X26/30,1)</f>
        <v>0</v>
      </c>
      <c r="Y25" s="32">
        <f>'Gastos Fijos'!Y16*IF(Y26&lt;30,Y26/30,1)</f>
        <v>0</v>
      </c>
      <c r="Z25" s="32">
        <f>'Gastos Fijos'!Z16*IF(Z26&lt;30,Z26/30,1)</f>
        <v>0</v>
      </c>
      <c r="AA25" s="32">
        <f>SUM(O25:Z25)</f>
        <v>0</v>
      </c>
      <c r="AB25" s="32">
        <f>'Gastos Fijos'!AB16</f>
        <v>0</v>
      </c>
      <c r="AC25" s="32">
        <f>'Gastos Fijos'!AC16</f>
        <v>0</v>
      </c>
      <c r="AD25" s="32">
        <f>'Gastos Fijos'!AD16</f>
        <v>0</v>
      </c>
    </row>
    <row r="26" spans="1:256" s="82" customFormat="1" ht="12.75" customHeight="1">
      <c r="A26" s="32" t="s">
        <v>65</v>
      </c>
      <c r="B26" s="41">
        <f>'Gastos Fijos'!B17</f>
        <v>0</v>
      </c>
      <c r="C26" s="41">
        <f>'Gastos Fijos'!C17</f>
        <v>0</v>
      </c>
      <c r="D26" s="41">
        <f>'Gastos Fijos'!D17</f>
        <v>0</v>
      </c>
      <c r="E26" s="41">
        <f>'Gastos Fijos'!E17</f>
        <v>0</v>
      </c>
      <c r="F26" s="41">
        <f>'Gastos Fijos'!F17</f>
        <v>0</v>
      </c>
      <c r="G26" s="41">
        <f>'Gastos Fijos'!G17</f>
        <v>0</v>
      </c>
      <c r="H26" s="41">
        <f>'Gastos Fijos'!H17</f>
        <v>0</v>
      </c>
      <c r="I26" s="41">
        <f>'Gastos Fijos'!I17</f>
        <v>0</v>
      </c>
      <c r="J26" s="41">
        <f>'Gastos Fijos'!J17</f>
        <v>0</v>
      </c>
      <c r="K26" s="41">
        <f>'Gastos Fijos'!K17</f>
        <v>0</v>
      </c>
      <c r="L26" s="41">
        <f>'Gastos Fijos'!L17</f>
        <v>0</v>
      </c>
      <c r="M26" s="41">
        <f>'Gastos Fijos'!M17</f>
        <v>0</v>
      </c>
      <c r="N26" s="28">
        <f>IF(N25=0,0,N29/N25*360)</f>
        <v>0</v>
      </c>
      <c r="O26" s="41">
        <f>'Gastos Fijos'!O17</f>
        <v>0</v>
      </c>
      <c r="P26" s="41">
        <f>'Gastos Fijos'!P17</f>
        <v>0</v>
      </c>
      <c r="Q26" s="41">
        <f>'Gastos Fijos'!Q17</f>
        <v>0</v>
      </c>
      <c r="R26" s="41">
        <f>'Gastos Fijos'!R17</f>
        <v>0</v>
      </c>
      <c r="S26" s="41">
        <f>'Gastos Fijos'!S17</f>
        <v>0</v>
      </c>
      <c r="T26" s="41">
        <f>'Gastos Fijos'!T17</f>
        <v>0</v>
      </c>
      <c r="U26" s="41">
        <f>'Gastos Fijos'!U17</f>
        <v>0</v>
      </c>
      <c r="V26" s="41">
        <f>'Gastos Fijos'!V17</f>
        <v>0</v>
      </c>
      <c r="W26" s="41">
        <f>'Gastos Fijos'!W17</f>
        <v>0</v>
      </c>
      <c r="X26" s="41">
        <f>'Gastos Fijos'!X17</f>
        <v>0</v>
      </c>
      <c r="Y26" s="41">
        <f>'Gastos Fijos'!Y17</f>
        <v>0</v>
      </c>
      <c r="Z26" s="41">
        <f>'Gastos Fijos'!Z17</f>
        <v>0</v>
      </c>
      <c r="AA26" s="28">
        <f>IF(AA25=0,0,AA29/AA25*360)</f>
        <v>0</v>
      </c>
      <c r="AB26" s="41">
        <f>'Gastos Fijos'!AB17</f>
        <v>0</v>
      </c>
      <c r="AC26" s="41">
        <f>'Gastos Fijos'!AC17</f>
        <v>0</v>
      </c>
      <c r="AD26" s="41">
        <f>'Gastos Fijos'!AD17</f>
        <v>0</v>
      </c>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82" customFormat="1" ht="12.75" customHeight="1">
      <c r="A27" s="32" t="s">
        <v>225</v>
      </c>
      <c r="B27" s="3">
        <f aca="true" t="shared" si="11" ref="B27:M27">ROUNDUP(B$54+MAX(1,(B26-15)/30),0)</f>
        <v>2</v>
      </c>
      <c r="C27" s="3">
        <f t="shared" si="11"/>
        <v>3</v>
      </c>
      <c r="D27" s="3">
        <f t="shared" si="11"/>
        <v>4</v>
      </c>
      <c r="E27" s="3">
        <f t="shared" si="11"/>
        <v>5</v>
      </c>
      <c r="F27" s="3">
        <f t="shared" si="11"/>
        <v>6</v>
      </c>
      <c r="G27" s="3">
        <f t="shared" si="11"/>
        <v>7</v>
      </c>
      <c r="H27" s="3">
        <f t="shared" si="11"/>
        <v>8</v>
      </c>
      <c r="I27" s="3">
        <f t="shared" si="11"/>
        <v>9</v>
      </c>
      <c r="J27" s="3">
        <f t="shared" si="11"/>
        <v>10</v>
      </c>
      <c r="K27" s="3">
        <f t="shared" si="11"/>
        <v>11</v>
      </c>
      <c r="L27" s="3">
        <f t="shared" si="11"/>
        <v>12</v>
      </c>
      <c r="M27" s="3">
        <f t="shared" si="11"/>
        <v>13</v>
      </c>
      <c r="N27" s="3"/>
      <c r="O27" s="3">
        <f aca="true" t="shared" si="12" ref="O27:Z27">ROUNDUP(O$54+MAX(1,(O26-15)/30),0)</f>
        <v>14</v>
      </c>
      <c r="P27" s="3">
        <f t="shared" si="12"/>
        <v>15</v>
      </c>
      <c r="Q27" s="3">
        <f t="shared" si="12"/>
        <v>16</v>
      </c>
      <c r="R27" s="3">
        <f t="shared" si="12"/>
        <v>17</v>
      </c>
      <c r="S27" s="3">
        <f t="shared" si="12"/>
        <v>18</v>
      </c>
      <c r="T27" s="3">
        <f t="shared" si="12"/>
        <v>19</v>
      </c>
      <c r="U27" s="3">
        <f t="shared" si="12"/>
        <v>20</v>
      </c>
      <c r="V27" s="3">
        <f t="shared" si="12"/>
        <v>21</v>
      </c>
      <c r="W27" s="3">
        <f t="shared" si="12"/>
        <v>22</v>
      </c>
      <c r="X27" s="3">
        <f t="shared" si="12"/>
        <v>23</v>
      </c>
      <c r="Y27" s="3">
        <f t="shared" si="12"/>
        <v>24</v>
      </c>
      <c r="Z27" s="3">
        <f t="shared" si="12"/>
        <v>25</v>
      </c>
      <c r="AA27" s="3"/>
      <c r="AB27" s="3"/>
      <c r="AC27" s="3"/>
      <c r="AD27" s="3"/>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82" customFormat="1" ht="12.75" customHeight="1">
      <c r="A28" s="32" t="s">
        <v>138</v>
      </c>
      <c r="B28" s="32">
        <f>B24+SUMIF($B27:B27,B$54,$B25:B25)</f>
        <v>750</v>
      </c>
      <c r="C28" s="32">
        <f>C24+SUMIF($B27:C27,C$54,$B25:C25)</f>
        <v>750</v>
      </c>
      <c r="D28" s="32">
        <f>D24+SUMIF($B27:D27,D$54,$B25:D25)</f>
        <v>750</v>
      </c>
      <c r="E28" s="32">
        <f>E24+SUMIF($B27:E27,E$54,$B25:E25)</f>
        <v>750</v>
      </c>
      <c r="F28" s="32">
        <f>F24+SUMIF($B27:F27,F$54,$B25:F25)</f>
        <v>750</v>
      </c>
      <c r="G28" s="32">
        <f>G24+SUMIF($B27:G27,G$54,$B25:G25)</f>
        <v>750</v>
      </c>
      <c r="H28" s="32">
        <f>H24+SUMIF($B27:H27,H$54,$B25:H25)</f>
        <v>750</v>
      </c>
      <c r="I28" s="32">
        <f>I24+SUMIF($B27:I27,I$54,$B25:I25)</f>
        <v>750</v>
      </c>
      <c r="J28" s="32">
        <f>J24+SUMIF($B27:J27,J$54,$B25:J25)</f>
        <v>750</v>
      </c>
      <c r="K28" s="32">
        <f>K24+SUMIF($B27:K27,K$54,$B25:K25)</f>
        <v>750</v>
      </c>
      <c r="L28" s="32">
        <f>L24+SUMIF($B27:L27,L$54,$B25:L25)</f>
        <v>750</v>
      </c>
      <c r="M28" s="32">
        <f>M24+SUMIF($B27:M27,M$54,$B25:M25)</f>
        <v>750</v>
      </c>
      <c r="N28" s="32">
        <f>SUM(B28:M28)</f>
        <v>9000</v>
      </c>
      <c r="O28" s="32">
        <f>O24+SUMIF($B27:O27,O$54,$B25:O25)</f>
        <v>800</v>
      </c>
      <c r="P28" s="32">
        <f>P24+SUMIF($B27:P27,P$54,$B25:P25)</f>
        <v>800</v>
      </c>
      <c r="Q28" s="32">
        <f>Q24+SUMIF($B27:Q27,Q$54,$B25:Q25)</f>
        <v>800</v>
      </c>
      <c r="R28" s="32">
        <f>R24+SUMIF($B27:R27,R$54,$B25:R25)</f>
        <v>800</v>
      </c>
      <c r="S28" s="32">
        <f>S24+SUMIF($B27:S27,S$54,$B25:S25)</f>
        <v>800</v>
      </c>
      <c r="T28" s="32">
        <f>T24+SUMIF($B27:T27,T$54,$B25:T25)</f>
        <v>800</v>
      </c>
      <c r="U28" s="32">
        <f>U24+SUMIF($B27:U27,U$54,$B25:U25)</f>
        <v>800</v>
      </c>
      <c r="V28" s="32">
        <f>V24+SUMIF($B27:V27,V$54,$B25:V25)</f>
        <v>800</v>
      </c>
      <c r="W28" s="32">
        <f>W24+SUMIF($B27:W27,W$54,$B25:W25)</f>
        <v>800</v>
      </c>
      <c r="X28" s="32">
        <f>X24+SUMIF($B27:X27,X$54,$B25:X25)</f>
        <v>800</v>
      </c>
      <c r="Y28" s="32">
        <f>Y24+SUMIF($B27:Y27,Y$54,$B25:Y25)</f>
        <v>800</v>
      </c>
      <c r="Z28" s="32">
        <f>Z24+SUMIF($B27:Z27,Z$54,$B25:Z25)</f>
        <v>800</v>
      </c>
      <c r="AA28" s="32">
        <f>SUM(O28:Z28)</f>
        <v>9600</v>
      </c>
      <c r="AB28" s="32">
        <f>AA29+AB23-AB29</f>
        <v>10170</v>
      </c>
      <c r="AC28" s="32">
        <f>AB29+AC23-AC29</f>
        <v>10778</v>
      </c>
      <c r="AD28" s="32">
        <f>AC29+AD23-AD29</f>
        <v>11426</v>
      </c>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82" customFormat="1" ht="12.75" customHeight="1">
      <c r="A29" s="32" t="s">
        <v>193</v>
      </c>
      <c r="B29" s="32">
        <f>B23-B28</f>
        <v>0</v>
      </c>
      <c r="C29" s="32">
        <f aca="true" t="shared" si="13" ref="C29:M29">B29+C23-C28</f>
        <v>0</v>
      </c>
      <c r="D29" s="32">
        <f t="shared" si="13"/>
        <v>0</v>
      </c>
      <c r="E29" s="32">
        <f t="shared" si="13"/>
        <v>0</v>
      </c>
      <c r="F29" s="32">
        <f t="shared" si="13"/>
        <v>0</v>
      </c>
      <c r="G29" s="32">
        <f t="shared" si="13"/>
        <v>0</v>
      </c>
      <c r="H29" s="32">
        <f t="shared" si="13"/>
        <v>0</v>
      </c>
      <c r="I29" s="32">
        <f t="shared" si="13"/>
        <v>0</v>
      </c>
      <c r="J29" s="32">
        <f t="shared" si="13"/>
        <v>0</v>
      </c>
      <c r="K29" s="32">
        <f t="shared" si="13"/>
        <v>0</v>
      </c>
      <c r="L29" s="32">
        <f t="shared" si="13"/>
        <v>0</v>
      </c>
      <c r="M29" s="32">
        <f t="shared" si="13"/>
        <v>0</v>
      </c>
      <c r="N29" s="32">
        <f>M29</f>
        <v>0</v>
      </c>
      <c r="O29" s="32">
        <f aca="true" t="shared" si="14" ref="O29:Z29">N29+O23-O28</f>
        <v>0</v>
      </c>
      <c r="P29" s="32">
        <f t="shared" si="14"/>
        <v>0</v>
      </c>
      <c r="Q29" s="32">
        <f t="shared" si="14"/>
        <v>0</v>
      </c>
      <c r="R29" s="32">
        <f t="shared" si="14"/>
        <v>0</v>
      </c>
      <c r="S29" s="32">
        <f t="shared" si="14"/>
        <v>0</v>
      </c>
      <c r="T29" s="32">
        <f t="shared" si="14"/>
        <v>0</v>
      </c>
      <c r="U29" s="32">
        <f t="shared" si="14"/>
        <v>0</v>
      </c>
      <c r="V29" s="32">
        <f t="shared" si="14"/>
        <v>0</v>
      </c>
      <c r="W29" s="32">
        <f t="shared" si="14"/>
        <v>0</v>
      </c>
      <c r="X29" s="32">
        <f t="shared" si="14"/>
        <v>0</v>
      </c>
      <c r="Y29" s="32">
        <f t="shared" si="14"/>
        <v>0</v>
      </c>
      <c r="Z29" s="32">
        <f t="shared" si="14"/>
        <v>0</v>
      </c>
      <c r="AA29" s="32">
        <f>Z29</f>
        <v>0</v>
      </c>
      <c r="AB29" s="32">
        <f>AB25*AB26/360</f>
        <v>0</v>
      </c>
      <c r="AC29" s="32">
        <f>AC25*AC26/360</f>
        <v>0</v>
      </c>
      <c r="AD29" s="32">
        <f>AD25*AD26/360</f>
        <v>0</v>
      </c>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82" customFormat="1"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82" customFormat="1"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82" customFormat="1" ht="12.75" customHeight="1">
      <c r="A32" s="47" t="s">
        <v>216</v>
      </c>
      <c r="B32" s="47">
        <f>Salarios!B22</f>
        <v>2500</v>
      </c>
      <c r="C32" s="47">
        <f>Salarios!C22</f>
        <v>2500</v>
      </c>
      <c r="D32" s="47">
        <f>Salarios!D22</f>
        <v>2500</v>
      </c>
      <c r="E32" s="47">
        <f>Salarios!E22</f>
        <v>2500</v>
      </c>
      <c r="F32" s="47">
        <f>Salarios!F22</f>
        <v>2500</v>
      </c>
      <c r="G32" s="47">
        <f>Salarios!G22</f>
        <v>2500</v>
      </c>
      <c r="H32" s="47">
        <f>Salarios!H22</f>
        <v>2500</v>
      </c>
      <c r="I32" s="47">
        <f>Salarios!I22</f>
        <v>2500</v>
      </c>
      <c r="J32" s="47">
        <f>Salarios!J22</f>
        <v>2500</v>
      </c>
      <c r="K32" s="47">
        <f>Salarios!K22</f>
        <v>2500</v>
      </c>
      <c r="L32" s="47">
        <f>Salarios!L22</f>
        <v>2500</v>
      </c>
      <c r="M32" s="47">
        <f>Salarios!M22</f>
        <v>2500</v>
      </c>
      <c r="N32" s="47">
        <f>Salarios!N22</f>
        <v>30000</v>
      </c>
      <c r="O32" s="47">
        <f>Salarios!O22</f>
        <v>2550</v>
      </c>
      <c r="P32" s="47">
        <f>Salarios!P22</f>
        <v>2550</v>
      </c>
      <c r="Q32" s="47">
        <f>Salarios!Q22</f>
        <v>2550</v>
      </c>
      <c r="R32" s="47">
        <f>Salarios!R22</f>
        <v>2550</v>
      </c>
      <c r="S32" s="47">
        <f>Salarios!S22</f>
        <v>2550</v>
      </c>
      <c r="T32" s="47">
        <f>Salarios!T22</f>
        <v>2550</v>
      </c>
      <c r="U32" s="47">
        <f>Salarios!U22</f>
        <v>2550</v>
      </c>
      <c r="V32" s="47">
        <f>Salarios!V22</f>
        <v>2550</v>
      </c>
      <c r="W32" s="47">
        <f>Salarios!W22</f>
        <v>2550</v>
      </c>
      <c r="X32" s="47">
        <f>Salarios!X22</f>
        <v>2550</v>
      </c>
      <c r="Y32" s="47">
        <f>Salarios!Y22</f>
        <v>2550</v>
      </c>
      <c r="Z32" s="47">
        <f>Salarios!Z22</f>
        <v>2550</v>
      </c>
      <c r="AA32" s="47">
        <f>Salarios!AA22</f>
        <v>30600</v>
      </c>
      <c r="AB32" s="47">
        <f>Salarios!AB22</f>
        <v>32130</v>
      </c>
      <c r="AC32" s="47">
        <f>Salarios!AC22</f>
        <v>42998</v>
      </c>
      <c r="AD32" s="47">
        <f>Salarios!AD22</f>
        <v>54872</v>
      </c>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30" ht="12.75" customHeight="1">
      <c r="A33" s="32" t="s">
        <v>50</v>
      </c>
      <c r="B33" s="32">
        <f>Salarios!B31+IF(B35&lt;30,Salarios!B32*(30-B35)/30,0)</f>
        <v>2500</v>
      </c>
      <c r="C33" s="32">
        <f>Salarios!C31+IF(C35&lt;30,Salarios!C32*(30-C35)/30,0)</f>
        <v>2500</v>
      </c>
      <c r="D33" s="32">
        <f>Salarios!D31+IF(D35&lt;30,Salarios!D32*(30-D35)/30,0)</f>
        <v>2500</v>
      </c>
      <c r="E33" s="32">
        <f>Salarios!E31+IF(E35&lt;30,Salarios!E32*(30-E35)/30,0)</f>
        <v>2500</v>
      </c>
      <c r="F33" s="32">
        <f>Salarios!F31+IF(F35&lt;30,Salarios!F32*(30-F35)/30,0)</f>
        <v>2500</v>
      </c>
      <c r="G33" s="32">
        <f>Salarios!G31+IF(G35&lt;30,Salarios!G32*(30-G35)/30,0)</f>
        <v>2500</v>
      </c>
      <c r="H33" s="32">
        <f>Salarios!H31+IF(H35&lt;30,Salarios!H32*(30-H35)/30,0)</f>
        <v>2500</v>
      </c>
      <c r="I33" s="32">
        <f>Salarios!I31+IF(I35&lt;30,Salarios!I32*(30-I35)/30,0)</f>
        <v>2500</v>
      </c>
      <c r="J33" s="32">
        <f>Salarios!J31+IF(J35&lt;30,Salarios!J32*(30-J35)/30,0)</f>
        <v>2500</v>
      </c>
      <c r="K33" s="32">
        <f>Salarios!K31+IF(K35&lt;30,Salarios!K32*(30-K35)/30,0)</f>
        <v>2500</v>
      </c>
      <c r="L33" s="32">
        <f>Salarios!L31+IF(L35&lt;30,Salarios!L32*(30-L35)/30,0)</f>
        <v>2500</v>
      </c>
      <c r="M33" s="32">
        <f>Salarios!M31+IF(M35&lt;30,Salarios!M32*(30-M35)/30,0)</f>
        <v>2500</v>
      </c>
      <c r="N33" s="32">
        <f>SUM(B33:M33)</f>
        <v>30000</v>
      </c>
      <c r="O33" s="32">
        <f>Salarios!O31+IF(O35&lt;30,Salarios!O32*(30-O35)/30,0)</f>
        <v>2550</v>
      </c>
      <c r="P33" s="32">
        <f>Salarios!P31+IF(P35&lt;30,Salarios!P32*(30-P35)/30,0)</f>
        <v>2550</v>
      </c>
      <c r="Q33" s="32">
        <f>Salarios!Q31+IF(Q35&lt;30,Salarios!Q32*(30-Q35)/30,0)</f>
        <v>2550</v>
      </c>
      <c r="R33" s="32">
        <f>Salarios!R31+IF(R35&lt;30,Salarios!R32*(30-R35)/30,0)</f>
        <v>2550</v>
      </c>
      <c r="S33" s="32">
        <f>Salarios!S31+IF(S35&lt;30,Salarios!S32*(30-S35)/30,0)</f>
        <v>2550</v>
      </c>
      <c r="T33" s="32">
        <f>Salarios!T31+IF(T35&lt;30,Salarios!T32*(30-T35)/30,0)</f>
        <v>2550</v>
      </c>
      <c r="U33" s="32">
        <f>Salarios!U31+IF(U35&lt;30,Salarios!U32*(30-U35)/30,0)</f>
        <v>2550</v>
      </c>
      <c r="V33" s="32">
        <f>Salarios!V31+IF(V35&lt;30,Salarios!V32*(30-V35)/30,0)</f>
        <v>2550</v>
      </c>
      <c r="W33" s="32">
        <f>Salarios!W31+IF(W35&lt;30,Salarios!W32*(30-W35)/30,0)</f>
        <v>2550</v>
      </c>
      <c r="X33" s="32">
        <f>Salarios!X31+IF(X35&lt;30,Salarios!X32*(30-X35)/30,0)</f>
        <v>2550</v>
      </c>
      <c r="Y33" s="32">
        <f>Salarios!Y31+IF(Y35&lt;30,Salarios!Y32*(30-Y35)/30,0)</f>
        <v>2550</v>
      </c>
      <c r="Z33" s="32">
        <f>Salarios!Z31+IF(Z35&lt;30,Salarios!Z32*(30-Z35)/30,0)</f>
        <v>2550</v>
      </c>
      <c r="AA33" s="32">
        <f>SUM(O33:Z33)</f>
        <v>30600</v>
      </c>
      <c r="AB33" s="32">
        <f>Salarios!AB31</f>
        <v>32130</v>
      </c>
      <c r="AC33" s="32">
        <f>Salarios!AC31</f>
        <v>42998</v>
      </c>
      <c r="AD33" s="32">
        <f>Salarios!AD31</f>
        <v>54872</v>
      </c>
    </row>
    <row r="34" spans="1:30" ht="12.75" customHeight="1">
      <c r="A34" s="32" t="s">
        <v>148</v>
      </c>
      <c r="B34" s="32">
        <f>Salarios!B32*IF(B35&lt;30,B35/30,1)</f>
        <v>0</v>
      </c>
      <c r="C34" s="32">
        <f>Salarios!C32*IF(C35&lt;30,C35/30,1)</f>
        <v>0</v>
      </c>
      <c r="D34" s="32">
        <f>Salarios!D32*IF(D35&lt;30,D35/30,1)</f>
        <v>0</v>
      </c>
      <c r="E34" s="32">
        <f>Salarios!E32*IF(E35&lt;30,E35/30,1)</f>
        <v>0</v>
      </c>
      <c r="F34" s="32">
        <f>Salarios!F32*IF(F35&lt;30,F35/30,1)</f>
        <v>0</v>
      </c>
      <c r="G34" s="32">
        <f>Salarios!G32*IF(G35&lt;30,G35/30,1)</f>
        <v>0</v>
      </c>
      <c r="H34" s="32">
        <f>Salarios!H32*IF(H35&lt;30,H35/30,1)</f>
        <v>0</v>
      </c>
      <c r="I34" s="32">
        <f>Salarios!I32*IF(I35&lt;30,I35/30,1)</f>
        <v>0</v>
      </c>
      <c r="J34" s="32">
        <f>Salarios!J32*IF(J35&lt;30,J35/30,1)</f>
        <v>0</v>
      </c>
      <c r="K34" s="32">
        <f>Salarios!K32*IF(K35&lt;30,K35/30,1)</f>
        <v>0</v>
      </c>
      <c r="L34" s="32">
        <f>Salarios!L32*IF(L35&lt;30,L35/30,1)</f>
        <v>0</v>
      </c>
      <c r="M34" s="32">
        <f>Salarios!M32*IF(M35&lt;30,M35/30,1)</f>
        <v>0</v>
      </c>
      <c r="N34" s="32">
        <f>SUM(B34:M34)</f>
        <v>0</v>
      </c>
      <c r="O34" s="32">
        <f>Salarios!O32*IF(O35&lt;30,O35/30,1)</f>
        <v>0</v>
      </c>
      <c r="P34" s="32">
        <f>Salarios!P32*IF(P35&lt;30,P35/30,1)</f>
        <v>0</v>
      </c>
      <c r="Q34" s="32">
        <f>Salarios!Q32*IF(Q35&lt;30,Q35/30,1)</f>
        <v>0</v>
      </c>
      <c r="R34" s="32">
        <f>Salarios!R32*IF(R35&lt;30,R35/30,1)</f>
        <v>0</v>
      </c>
      <c r="S34" s="32">
        <f>Salarios!S32*IF(S35&lt;30,S35/30,1)</f>
        <v>0</v>
      </c>
      <c r="T34" s="32">
        <f>Salarios!T32*IF(T35&lt;30,T35/30,1)</f>
        <v>0</v>
      </c>
      <c r="U34" s="32">
        <f>Salarios!U32*IF(U35&lt;30,U35/30,1)</f>
        <v>0</v>
      </c>
      <c r="V34" s="32">
        <f>Salarios!V32*IF(V35&lt;30,V35/30,1)</f>
        <v>0</v>
      </c>
      <c r="W34" s="32">
        <f>Salarios!W32*IF(W35&lt;30,W35/30,1)</f>
        <v>0</v>
      </c>
      <c r="X34" s="32">
        <f>Salarios!X32*IF(X35&lt;30,X35/30,1)</f>
        <v>0</v>
      </c>
      <c r="Y34" s="32">
        <f>Salarios!Y32*IF(Y35&lt;30,Y35/30,1)</f>
        <v>0</v>
      </c>
      <c r="Z34" s="32">
        <f>Salarios!Z32*IF(Z35&lt;30,Z35/30,1)</f>
        <v>0</v>
      </c>
      <c r="AA34" s="32">
        <f>SUM(O34:Z34)</f>
        <v>0</v>
      </c>
      <c r="AB34" s="32">
        <f>Salarios!AB32</f>
        <v>0</v>
      </c>
      <c r="AC34" s="32">
        <f>Salarios!AC32</f>
        <v>0</v>
      </c>
      <c r="AD34" s="32">
        <f>Salarios!AD32</f>
        <v>0</v>
      </c>
    </row>
    <row r="35" spans="1:30" s="58" customFormat="1" ht="12.75" customHeight="1">
      <c r="A35" s="32" t="s">
        <v>65</v>
      </c>
      <c r="B35" s="41">
        <f>Salarios!B33</f>
        <v>0</v>
      </c>
      <c r="C35" s="41">
        <f>Salarios!C33</f>
        <v>0</v>
      </c>
      <c r="D35" s="41">
        <f>Salarios!D33</f>
        <v>0</v>
      </c>
      <c r="E35" s="41">
        <f>Salarios!E33</f>
        <v>0</v>
      </c>
      <c r="F35" s="41">
        <f>Salarios!F33</f>
        <v>0</v>
      </c>
      <c r="G35" s="41">
        <f>Salarios!G33</f>
        <v>0</v>
      </c>
      <c r="H35" s="41">
        <f>Salarios!H33</f>
        <v>0</v>
      </c>
      <c r="I35" s="41">
        <f>Salarios!I33</f>
        <v>0</v>
      </c>
      <c r="J35" s="41">
        <f>Salarios!J33</f>
        <v>0</v>
      </c>
      <c r="K35" s="41">
        <f>Salarios!K33</f>
        <v>0</v>
      </c>
      <c r="L35" s="41">
        <f>Salarios!L33</f>
        <v>0</v>
      </c>
      <c r="M35" s="41">
        <f>Salarios!M33</f>
        <v>0</v>
      </c>
      <c r="N35" s="28">
        <f>IF(N34=0,0,N38/N34*360)</f>
        <v>0</v>
      </c>
      <c r="O35" s="41">
        <f>Salarios!O33</f>
        <v>0</v>
      </c>
      <c r="P35" s="41">
        <f>Salarios!P33</f>
        <v>0</v>
      </c>
      <c r="Q35" s="41">
        <f>Salarios!Q33</f>
        <v>0</v>
      </c>
      <c r="R35" s="41">
        <f>Salarios!R33</f>
        <v>0</v>
      </c>
      <c r="S35" s="41">
        <f>Salarios!S33</f>
        <v>0</v>
      </c>
      <c r="T35" s="41">
        <f>Salarios!T33</f>
        <v>0</v>
      </c>
      <c r="U35" s="41">
        <f>Salarios!U33</f>
        <v>0</v>
      </c>
      <c r="V35" s="41">
        <f>Salarios!V33</f>
        <v>0</v>
      </c>
      <c r="W35" s="41">
        <f>Salarios!W33</f>
        <v>0</v>
      </c>
      <c r="X35" s="41">
        <f>Salarios!X33</f>
        <v>0</v>
      </c>
      <c r="Y35" s="41">
        <f>Salarios!Y33</f>
        <v>0</v>
      </c>
      <c r="Z35" s="41">
        <f>Salarios!Z33</f>
        <v>0</v>
      </c>
      <c r="AA35" s="28">
        <f>IF(AA34=0,0,AA38/AA34*360)</f>
        <v>0</v>
      </c>
      <c r="AB35" s="41">
        <f>Salarios!AB33</f>
        <v>0</v>
      </c>
      <c r="AC35" s="41">
        <f>Salarios!AC33</f>
        <v>0</v>
      </c>
      <c r="AD35" s="41">
        <f>Salarios!AD33</f>
        <v>0</v>
      </c>
    </row>
    <row r="36" spans="1:256" s="82" customFormat="1" ht="12.75" customHeight="1">
      <c r="A36" s="32" t="s">
        <v>225</v>
      </c>
      <c r="B36" s="3">
        <f aca="true" t="shared" si="15" ref="B36:M36">ROUNDUP(B$54+MAX(1,(B35-15)/30),0)</f>
        <v>2</v>
      </c>
      <c r="C36" s="3">
        <f t="shared" si="15"/>
        <v>3</v>
      </c>
      <c r="D36" s="3">
        <f t="shared" si="15"/>
        <v>4</v>
      </c>
      <c r="E36" s="3">
        <f t="shared" si="15"/>
        <v>5</v>
      </c>
      <c r="F36" s="3">
        <f t="shared" si="15"/>
        <v>6</v>
      </c>
      <c r="G36" s="3">
        <f t="shared" si="15"/>
        <v>7</v>
      </c>
      <c r="H36" s="3">
        <f t="shared" si="15"/>
        <v>8</v>
      </c>
      <c r="I36" s="3">
        <f t="shared" si="15"/>
        <v>9</v>
      </c>
      <c r="J36" s="3">
        <f t="shared" si="15"/>
        <v>10</v>
      </c>
      <c r="K36" s="3">
        <f t="shared" si="15"/>
        <v>11</v>
      </c>
      <c r="L36" s="3">
        <f t="shared" si="15"/>
        <v>12</v>
      </c>
      <c r="M36" s="3">
        <f t="shared" si="15"/>
        <v>13</v>
      </c>
      <c r="N36" s="3"/>
      <c r="O36" s="3">
        <f aca="true" t="shared" si="16" ref="O36:Z36">ROUNDUP(O$54+MAX(1,(O35-15)/30),0)</f>
        <v>14</v>
      </c>
      <c r="P36" s="3">
        <f t="shared" si="16"/>
        <v>15</v>
      </c>
      <c r="Q36" s="3">
        <f t="shared" si="16"/>
        <v>16</v>
      </c>
      <c r="R36" s="3">
        <f t="shared" si="16"/>
        <v>17</v>
      </c>
      <c r="S36" s="3">
        <f t="shared" si="16"/>
        <v>18</v>
      </c>
      <c r="T36" s="3">
        <f t="shared" si="16"/>
        <v>19</v>
      </c>
      <c r="U36" s="3">
        <f t="shared" si="16"/>
        <v>20</v>
      </c>
      <c r="V36" s="3">
        <f t="shared" si="16"/>
        <v>21</v>
      </c>
      <c r="W36" s="3">
        <f t="shared" si="16"/>
        <v>22</v>
      </c>
      <c r="X36" s="3">
        <f t="shared" si="16"/>
        <v>23</v>
      </c>
      <c r="Y36" s="3">
        <f t="shared" si="16"/>
        <v>24</v>
      </c>
      <c r="Z36" s="3">
        <f t="shared" si="16"/>
        <v>25</v>
      </c>
      <c r="AA36" s="3"/>
      <c r="AB36" s="3"/>
      <c r="AC36" s="3"/>
      <c r="AD36" s="3"/>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82" customFormat="1" ht="12.75" customHeight="1">
      <c r="A37" s="32" t="s">
        <v>138</v>
      </c>
      <c r="B37" s="32">
        <f>B33+SUMIF($B36:B36,B$54,$B34:B34)</f>
        <v>2500</v>
      </c>
      <c r="C37" s="32">
        <f>C33+SUMIF($B36:C36,C$54,$B34:C34)</f>
        <v>2500</v>
      </c>
      <c r="D37" s="32">
        <f>D33+SUMIF($B36:D36,D$54,$B34:D34)</f>
        <v>2500</v>
      </c>
      <c r="E37" s="32">
        <f>E33+SUMIF($B36:E36,E$54,$B34:E34)</f>
        <v>2500</v>
      </c>
      <c r="F37" s="32">
        <f>F33+SUMIF($B36:F36,F$54,$B34:F34)</f>
        <v>2500</v>
      </c>
      <c r="G37" s="32">
        <f>G33+SUMIF($B36:G36,G$54,$B34:G34)</f>
        <v>2500</v>
      </c>
      <c r="H37" s="32">
        <f>H33+SUMIF($B36:H36,H$54,$B34:H34)</f>
        <v>2500</v>
      </c>
      <c r="I37" s="32">
        <f>I33+SUMIF($B36:I36,I$54,$B34:I34)</f>
        <v>2500</v>
      </c>
      <c r="J37" s="32">
        <f>J33+SUMIF($B36:J36,J$54,$B34:J34)</f>
        <v>2500</v>
      </c>
      <c r="K37" s="32">
        <f>K33+SUMIF($B36:K36,K$54,$B34:K34)</f>
        <v>2500</v>
      </c>
      <c r="L37" s="32">
        <f>L33+SUMIF($B36:L36,L$54,$B34:L34)</f>
        <v>2500</v>
      </c>
      <c r="M37" s="32">
        <f>M33+SUMIF($B36:M36,M$54,$B34:M34)</f>
        <v>2500</v>
      </c>
      <c r="N37" s="32">
        <f>SUM(B37:M37)</f>
        <v>30000</v>
      </c>
      <c r="O37" s="32">
        <f>O33+SUMIF($B36:O36,O$54,$B34:O34)</f>
        <v>2550</v>
      </c>
      <c r="P37" s="32">
        <f>P33+SUMIF($B36:P36,P$54,$B34:P34)</f>
        <v>2550</v>
      </c>
      <c r="Q37" s="32">
        <f>Q33+SUMIF($B36:Q36,Q$54,$B34:Q34)</f>
        <v>2550</v>
      </c>
      <c r="R37" s="32">
        <f>R33+SUMIF($B36:R36,R$54,$B34:R34)</f>
        <v>2550</v>
      </c>
      <c r="S37" s="32">
        <f>S33+SUMIF($B36:S36,S$54,$B34:S34)</f>
        <v>2550</v>
      </c>
      <c r="T37" s="32">
        <f>T33+SUMIF($B36:T36,T$54,$B34:T34)</f>
        <v>2550</v>
      </c>
      <c r="U37" s="32">
        <f>U33+SUMIF($B36:U36,U$54,$B34:U34)</f>
        <v>2550</v>
      </c>
      <c r="V37" s="32">
        <f>V33+SUMIF($B36:V36,V$54,$B34:V34)</f>
        <v>2550</v>
      </c>
      <c r="W37" s="32">
        <f>W33+SUMIF($B36:W36,W$54,$B34:W34)</f>
        <v>2550</v>
      </c>
      <c r="X37" s="32">
        <f>X33+SUMIF($B36:X36,X$54,$B34:X34)</f>
        <v>2550</v>
      </c>
      <c r="Y37" s="32">
        <f>Y33+SUMIF($B36:Y36,Y$54,$B34:Y34)</f>
        <v>2550</v>
      </c>
      <c r="Z37" s="32">
        <f>Z33+SUMIF($B36:Z36,Z$54,$B34:Z34)</f>
        <v>2550</v>
      </c>
      <c r="AA37" s="32">
        <f>SUM(O37:Z37)</f>
        <v>30600</v>
      </c>
      <c r="AB37" s="32">
        <f>AA38+AB32-AB38</f>
        <v>32130</v>
      </c>
      <c r="AC37" s="32">
        <f>AB38+AC32-AC38</f>
        <v>42998</v>
      </c>
      <c r="AD37" s="32">
        <f>AC38+AD32-AD38</f>
        <v>54872</v>
      </c>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82" customFormat="1" ht="12.75" customHeight="1">
      <c r="A38" s="32" t="s">
        <v>193</v>
      </c>
      <c r="B38" s="32">
        <f>B32-B37</f>
        <v>0</v>
      </c>
      <c r="C38" s="32">
        <f aca="true" t="shared" si="17" ref="C38:M38">B38+C32-C37</f>
        <v>0</v>
      </c>
      <c r="D38" s="32">
        <f t="shared" si="17"/>
        <v>0</v>
      </c>
      <c r="E38" s="32">
        <f t="shared" si="17"/>
        <v>0</v>
      </c>
      <c r="F38" s="32">
        <f t="shared" si="17"/>
        <v>0</v>
      </c>
      <c r="G38" s="32">
        <f t="shared" si="17"/>
        <v>0</v>
      </c>
      <c r="H38" s="32">
        <f t="shared" si="17"/>
        <v>0</v>
      </c>
      <c r="I38" s="32">
        <f t="shared" si="17"/>
        <v>0</v>
      </c>
      <c r="J38" s="32">
        <f t="shared" si="17"/>
        <v>0</v>
      </c>
      <c r="K38" s="32">
        <f t="shared" si="17"/>
        <v>0</v>
      </c>
      <c r="L38" s="32">
        <f t="shared" si="17"/>
        <v>0</v>
      </c>
      <c r="M38" s="32">
        <f t="shared" si="17"/>
        <v>0</v>
      </c>
      <c r="N38" s="32">
        <f>M38</f>
        <v>0</v>
      </c>
      <c r="O38" s="32">
        <f aca="true" t="shared" si="18" ref="O38:Z38">N38+O32-O37</f>
        <v>0</v>
      </c>
      <c r="P38" s="32">
        <f t="shared" si="18"/>
        <v>0</v>
      </c>
      <c r="Q38" s="32">
        <f t="shared" si="18"/>
        <v>0</v>
      </c>
      <c r="R38" s="32">
        <f t="shared" si="18"/>
        <v>0</v>
      </c>
      <c r="S38" s="32">
        <f t="shared" si="18"/>
        <v>0</v>
      </c>
      <c r="T38" s="32">
        <f t="shared" si="18"/>
        <v>0</v>
      </c>
      <c r="U38" s="32">
        <f t="shared" si="18"/>
        <v>0</v>
      </c>
      <c r="V38" s="32">
        <f t="shared" si="18"/>
        <v>0</v>
      </c>
      <c r="W38" s="32">
        <f t="shared" si="18"/>
        <v>0</v>
      </c>
      <c r="X38" s="32">
        <f t="shared" si="18"/>
        <v>0</v>
      </c>
      <c r="Y38" s="32">
        <f t="shared" si="18"/>
        <v>0</v>
      </c>
      <c r="Z38" s="32">
        <f t="shared" si="18"/>
        <v>0</v>
      </c>
      <c r="AA38" s="32">
        <f>Z38</f>
        <v>0</v>
      </c>
      <c r="AB38" s="32">
        <f>AB34*AB35/360</f>
        <v>0</v>
      </c>
      <c r="AC38" s="32">
        <f>AC34*AC35/360</f>
        <v>0</v>
      </c>
      <c r="AD38" s="32">
        <f>AD34*AD35/360</f>
        <v>0</v>
      </c>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82" customFormat="1" ht="12.7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82" customFormat="1" ht="12.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82" customFormat="1" ht="12.75" customHeight="1">
      <c r="A41" s="47" t="s">
        <v>20</v>
      </c>
      <c r="B41" s="47">
        <f>Inversiones!B11</f>
        <v>25500</v>
      </c>
      <c r="C41" s="47">
        <f>Inversiones!C11</f>
        <v>0</v>
      </c>
      <c r="D41" s="47">
        <f>Inversiones!D11</f>
        <v>0</v>
      </c>
      <c r="E41" s="47">
        <f>Inversiones!E11</f>
        <v>0</v>
      </c>
      <c r="F41" s="47">
        <f>Inversiones!F11</f>
        <v>0</v>
      </c>
      <c r="G41" s="47">
        <f>Inversiones!G11</f>
        <v>0</v>
      </c>
      <c r="H41" s="47">
        <f>Inversiones!H11</f>
        <v>0</v>
      </c>
      <c r="I41" s="47">
        <f>Inversiones!I11</f>
        <v>0</v>
      </c>
      <c r="J41" s="47">
        <f>Inversiones!J11</f>
        <v>0</v>
      </c>
      <c r="K41" s="47">
        <f>Inversiones!K11</f>
        <v>0</v>
      </c>
      <c r="L41" s="47">
        <f>Inversiones!L11</f>
        <v>0</v>
      </c>
      <c r="M41" s="47">
        <f>Inversiones!M11</f>
        <v>0</v>
      </c>
      <c r="N41" s="47">
        <f>Inversiones!N11</f>
        <v>25500</v>
      </c>
      <c r="O41" s="47">
        <f>Inversiones!O11</f>
        <v>7000</v>
      </c>
      <c r="P41" s="47">
        <f>Inversiones!P11</f>
        <v>0</v>
      </c>
      <c r="Q41" s="47">
        <f>Inversiones!Q11</f>
        <v>0</v>
      </c>
      <c r="R41" s="47">
        <f>Inversiones!R11</f>
        <v>0</v>
      </c>
      <c r="S41" s="47">
        <f>Inversiones!S11</f>
        <v>0</v>
      </c>
      <c r="T41" s="47">
        <f>Inversiones!T11</f>
        <v>0</v>
      </c>
      <c r="U41" s="47">
        <f>Inversiones!U11</f>
        <v>0</v>
      </c>
      <c r="V41" s="47">
        <f>Inversiones!V11</f>
        <v>0</v>
      </c>
      <c r="W41" s="47">
        <f>Inversiones!W11</f>
        <v>0</v>
      </c>
      <c r="X41" s="47">
        <f>Inversiones!X11</f>
        <v>0</v>
      </c>
      <c r="Y41" s="47">
        <f>Inversiones!Y11</f>
        <v>0</v>
      </c>
      <c r="Z41" s="47">
        <f>Inversiones!Z11</f>
        <v>0</v>
      </c>
      <c r="AA41" s="47">
        <f>Inversiones!AA11</f>
        <v>7000</v>
      </c>
      <c r="AB41" s="47">
        <f>Inversiones!AB11</f>
        <v>7000</v>
      </c>
      <c r="AC41" s="47">
        <f>Inversiones!AC11</f>
        <v>0</v>
      </c>
      <c r="AD41" s="47">
        <f>Inversiones!AD11</f>
        <v>0</v>
      </c>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82" customFormat="1" ht="12.75" customHeight="1">
      <c r="A42" s="32" t="s">
        <v>50</v>
      </c>
      <c r="B42" s="32">
        <f>Inversiones!B29+IF(B44&lt;30,Inversiones!B30*(30-B44)/30,0)</f>
        <v>25500</v>
      </c>
      <c r="C42" s="32">
        <f>Inversiones!C29+IF(C44&lt;30,Inversiones!C30*(30-C44)/30,0)</f>
        <v>0</v>
      </c>
      <c r="D42" s="32">
        <f>Inversiones!D29+IF(D44&lt;30,Inversiones!D30*(30-D44)/30,0)</f>
        <v>0</v>
      </c>
      <c r="E42" s="32">
        <f>Inversiones!E29+IF(E44&lt;30,Inversiones!E30*(30-E44)/30,0)</f>
        <v>0</v>
      </c>
      <c r="F42" s="32">
        <f>Inversiones!F29+IF(F44&lt;30,Inversiones!F30*(30-F44)/30,0)</f>
        <v>0</v>
      </c>
      <c r="G42" s="32">
        <f>Inversiones!G29+IF(G44&lt;30,Inversiones!G30*(30-G44)/30,0)</f>
        <v>0</v>
      </c>
      <c r="H42" s="32">
        <f>Inversiones!H29+IF(H44&lt;30,Inversiones!H30*(30-H44)/30,0)</f>
        <v>0</v>
      </c>
      <c r="I42" s="32">
        <f>Inversiones!I29+IF(I44&lt;30,Inversiones!I30*(30-I44)/30,0)</f>
        <v>0</v>
      </c>
      <c r="J42" s="32">
        <f>Inversiones!J29+IF(J44&lt;30,Inversiones!J30*(30-J44)/30,0)</f>
        <v>0</v>
      </c>
      <c r="K42" s="32">
        <f>Inversiones!K29+IF(K44&lt;30,Inversiones!K30*(30-K44)/30,0)</f>
        <v>0</v>
      </c>
      <c r="L42" s="32">
        <f>Inversiones!L29+IF(L44&lt;30,Inversiones!L30*(30-L44)/30,0)</f>
        <v>0</v>
      </c>
      <c r="M42" s="32">
        <f>Inversiones!M29+IF(M44&lt;30,Inversiones!M30*(30-M44)/30,0)</f>
        <v>0</v>
      </c>
      <c r="N42" s="32">
        <f>SUM(B42:M42)</f>
        <v>25500</v>
      </c>
      <c r="O42" s="32">
        <f>Inversiones!O29+IF(O44&lt;30,Inversiones!O30*(30-O44)/30,0)</f>
        <v>7000</v>
      </c>
      <c r="P42" s="32">
        <f>Inversiones!P29+IF(P44&lt;30,Inversiones!P30*(30-P44)/30,0)</f>
        <v>0</v>
      </c>
      <c r="Q42" s="32">
        <f>Inversiones!Q29+IF(Q44&lt;30,Inversiones!Q30*(30-Q44)/30,0)</f>
        <v>0</v>
      </c>
      <c r="R42" s="32">
        <f>Inversiones!R29+IF(R44&lt;30,Inversiones!R30*(30-R44)/30,0)</f>
        <v>0</v>
      </c>
      <c r="S42" s="32">
        <f>Inversiones!S29+IF(S44&lt;30,Inversiones!S30*(30-S44)/30,0)</f>
        <v>0</v>
      </c>
      <c r="T42" s="32">
        <f>Inversiones!T29+IF(T44&lt;30,Inversiones!T30*(30-T44)/30,0)</f>
        <v>0</v>
      </c>
      <c r="U42" s="32">
        <f>Inversiones!U29+IF(U44&lt;30,Inversiones!U30*(30-U44)/30,0)</f>
        <v>0</v>
      </c>
      <c r="V42" s="32">
        <f>Inversiones!V29+IF(V44&lt;30,Inversiones!V30*(30-V44)/30,0)</f>
        <v>0</v>
      </c>
      <c r="W42" s="32">
        <f>Inversiones!W29+IF(W44&lt;30,Inversiones!W30*(30-W44)/30,0)</f>
        <v>0</v>
      </c>
      <c r="X42" s="32">
        <f>Inversiones!X29+IF(X44&lt;30,Inversiones!X30*(30-X44)/30,0)</f>
        <v>0</v>
      </c>
      <c r="Y42" s="32">
        <f>Inversiones!Y29+IF(Y44&lt;30,Inversiones!Y30*(30-Y44)/30,0)</f>
        <v>0</v>
      </c>
      <c r="Z42" s="32">
        <f>Inversiones!Z29+IF(Z44&lt;30,Inversiones!Z30*(30-Z44)/30,0)</f>
        <v>0</v>
      </c>
      <c r="AA42" s="32">
        <f>SUM(O42:Z42)</f>
        <v>7000</v>
      </c>
      <c r="AB42" s="32">
        <f>Inversiones!AB29</f>
        <v>7000</v>
      </c>
      <c r="AC42" s="32">
        <f>Inversiones!AC29</f>
        <v>0</v>
      </c>
      <c r="AD42" s="32">
        <f>Inversiones!AD29</f>
        <v>0</v>
      </c>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30" ht="12.75" customHeight="1">
      <c r="A43" s="32" t="s">
        <v>148</v>
      </c>
      <c r="B43" s="32">
        <f>Inversiones!B30*IF(B44&lt;30,B44/30,1)</f>
        <v>0</v>
      </c>
      <c r="C43" s="32">
        <f>Inversiones!C30*IF(C44&lt;30,C44/30,1)</f>
        <v>0</v>
      </c>
      <c r="D43" s="32">
        <f>Inversiones!D30*IF(D44&lt;30,D44/30,1)</f>
        <v>0</v>
      </c>
      <c r="E43" s="32">
        <f>Inversiones!E30*IF(E44&lt;30,E44/30,1)</f>
        <v>0</v>
      </c>
      <c r="F43" s="32">
        <f>Inversiones!F30*IF(F44&lt;30,F44/30,1)</f>
        <v>0</v>
      </c>
      <c r="G43" s="32">
        <f>Inversiones!G30*IF(G44&lt;30,G44/30,1)</f>
        <v>0</v>
      </c>
      <c r="H43" s="32">
        <f>Inversiones!H30*IF(H44&lt;30,H44/30,1)</f>
        <v>0</v>
      </c>
      <c r="I43" s="32">
        <f>Inversiones!I30*IF(I44&lt;30,I44/30,1)</f>
        <v>0</v>
      </c>
      <c r="J43" s="32">
        <f>Inversiones!J30*IF(J44&lt;30,J44/30,1)</f>
        <v>0</v>
      </c>
      <c r="K43" s="32">
        <f>Inversiones!K30*IF(K44&lt;30,K44/30,1)</f>
        <v>0</v>
      </c>
      <c r="L43" s="32">
        <f>Inversiones!L30*IF(L44&lt;30,L44/30,1)</f>
        <v>0</v>
      </c>
      <c r="M43" s="32">
        <f>Inversiones!M30*IF(M44&lt;30,M44/30,1)</f>
        <v>0</v>
      </c>
      <c r="N43" s="32">
        <f>SUM(B43:M43)</f>
        <v>0</v>
      </c>
      <c r="O43" s="32">
        <f>Inversiones!O30*IF(O44&lt;30,O44/30,1)</f>
        <v>0</v>
      </c>
      <c r="P43" s="32">
        <f>Inversiones!P30*IF(P44&lt;30,P44/30,1)</f>
        <v>0</v>
      </c>
      <c r="Q43" s="32">
        <f>Inversiones!Q30*IF(Q44&lt;30,Q44/30,1)</f>
        <v>0</v>
      </c>
      <c r="R43" s="32">
        <f>Inversiones!R30*IF(R44&lt;30,R44/30,1)</f>
        <v>0</v>
      </c>
      <c r="S43" s="32">
        <f>Inversiones!S30*IF(S44&lt;30,S44/30,1)</f>
        <v>0</v>
      </c>
      <c r="T43" s="32">
        <f>Inversiones!T30*IF(T44&lt;30,T44/30,1)</f>
        <v>0</v>
      </c>
      <c r="U43" s="32">
        <f>Inversiones!U30*IF(U44&lt;30,U44/30,1)</f>
        <v>0</v>
      </c>
      <c r="V43" s="32">
        <f>Inversiones!V30*IF(V44&lt;30,V44/30,1)</f>
        <v>0</v>
      </c>
      <c r="W43" s="32">
        <f>Inversiones!W30*IF(W44&lt;30,W44/30,1)</f>
        <v>0</v>
      </c>
      <c r="X43" s="32">
        <f>Inversiones!X30*IF(X44&lt;30,X44/30,1)</f>
        <v>0</v>
      </c>
      <c r="Y43" s="32">
        <f>Inversiones!Y30*IF(Y44&lt;30,Y44/30,1)</f>
        <v>0</v>
      </c>
      <c r="Z43" s="32">
        <f>Inversiones!Z30*IF(Z44&lt;30,Z44/30,1)</f>
        <v>0</v>
      </c>
      <c r="AA43" s="32">
        <f>SUM(O43:Z43)</f>
        <v>0</v>
      </c>
      <c r="AB43" s="32">
        <f>Inversiones!AB30</f>
        <v>0</v>
      </c>
      <c r="AC43" s="32">
        <f>Inversiones!AC30</f>
        <v>0</v>
      </c>
      <c r="AD43" s="32">
        <f>Inversiones!AD30</f>
        <v>0</v>
      </c>
    </row>
    <row r="44" spans="1:30" ht="12.75" customHeight="1">
      <c r="A44" s="32" t="s">
        <v>65</v>
      </c>
      <c r="B44" s="41">
        <f>Inversiones!B31</f>
        <v>0</v>
      </c>
      <c r="C44" s="41">
        <f>Inversiones!C31</f>
        <v>0</v>
      </c>
      <c r="D44" s="41">
        <f>Inversiones!D31</f>
        <v>0</v>
      </c>
      <c r="E44" s="41">
        <f>Inversiones!E31</f>
        <v>0</v>
      </c>
      <c r="F44" s="41">
        <f>Inversiones!F31</f>
        <v>0</v>
      </c>
      <c r="G44" s="41">
        <f>Inversiones!G31</f>
        <v>0</v>
      </c>
      <c r="H44" s="41">
        <f>Inversiones!H31</f>
        <v>0</v>
      </c>
      <c r="I44" s="41">
        <f>Inversiones!I31</f>
        <v>0</v>
      </c>
      <c r="J44" s="41">
        <f>Inversiones!J31</f>
        <v>0</v>
      </c>
      <c r="K44" s="41">
        <f>Inversiones!K31</f>
        <v>0</v>
      </c>
      <c r="L44" s="41">
        <f>Inversiones!L31</f>
        <v>0</v>
      </c>
      <c r="M44" s="41">
        <f>Inversiones!M31</f>
        <v>0</v>
      </c>
      <c r="N44" s="28">
        <f>IF(N43=0,0,N47/N43*360)</f>
        <v>0</v>
      </c>
      <c r="O44" s="41">
        <f>Inversiones!O31</f>
        <v>0</v>
      </c>
      <c r="P44" s="41">
        <f>Inversiones!P31</f>
        <v>0</v>
      </c>
      <c r="Q44" s="41">
        <f>Inversiones!Q31</f>
        <v>0</v>
      </c>
      <c r="R44" s="41">
        <f>Inversiones!R31</f>
        <v>0</v>
      </c>
      <c r="S44" s="41">
        <f>Inversiones!S31</f>
        <v>0</v>
      </c>
      <c r="T44" s="41">
        <f>Inversiones!T31</f>
        <v>0</v>
      </c>
      <c r="U44" s="41">
        <f>Inversiones!U31</f>
        <v>0</v>
      </c>
      <c r="V44" s="41">
        <f>Inversiones!V31</f>
        <v>0</v>
      </c>
      <c r="W44" s="41">
        <f>Inversiones!W31</f>
        <v>0</v>
      </c>
      <c r="X44" s="41">
        <f>Inversiones!X31</f>
        <v>0</v>
      </c>
      <c r="Y44" s="41">
        <f>Inversiones!Y31</f>
        <v>0</v>
      </c>
      <c r="Z44" s="41">
        <f>Inversiones!Z31</f>
        <v>0</v>
      </c>
      <c r="AA44" s="28">
        <f>IF(AA43=0,0,AA47/AA43*360)</f>
        <v>0</v>
      </c>
      <c r="AB44" s="41">
        <f>Inversiones!AB31</f>
        <v>0</v>
      </c>
      <c r="AC44" s="41">
        <f>Inversiones!AC31</f>
        <v>0</v>
      </c>
      <c r="AD44" s="41">
        <f>Inversiones!AD31</f>
        <v>0</v>
      </c>
    </row>
    <row r="45" spans="1:30" s="58" customFormat="1" ht="12.75" customHeight="1">
      <c r="A45" s="32" t="s">
        <v>225</v>
      </c>
      <c r="B45" s="3">
        <f aca="true" t="shared" si="19" ref="B45:M45">ROUNDUP(B$54+MAX(1,(B44-15)/30),0)</f>
        <v>2</v>
      </c>
      <c r="C45" s="3">
        <f t="shared" si="19"/>
        <v>3</v>
      </c>
      <c r="D45" s="3">
        <f t="shared" si="19"/>
        <v>4</v>
      </c>
      <c r="E45" s="3">
        <f t="shared" si="19"/>
        <v>5</v>
      </c>
      <c r="F45" s="3">
        <f t="shared" si="19"/>
        <v>6</v>
      </c>
      <c r="G45" s="3">
        <f t="shared" si="19"/>
        <v>7</v>
      </c>
      <c r="H45" s="3">
        <f t="shared" si="19"/>
        <v>8</v>
      </c>
      <c r="I45" s="3">
        <f t="shared" si="19"/>
        <v>9</v>
      </c>
      <c r="J45" s="3">
        <f t="shared" si="19"/>
        <v>10</v>
      </c>
      <c r="K45" s="3">
        <f t="shared" si="19"/>
        <v>11</v>
      </c>
      <c r="L45" s="3">
        <f t="shared" si="19"/>
        <v>12</v>
      </c>
      <c r="M45" s="3">
        <f t="shared" si="19"/>
        <v>13</v>
      </c>
      <c r="N45" s="3"/>
      <c r="O45" s="3">
        <f aca="true" t="shared" si="20" ref="O45:Z45">ROUNDUP(O$54+MAX(1,(O44-15)/30),0)</f>
        <v>14</v>
      </c>
      <c r="P45" s="3">
        <f t="shared" si="20"/>
        <v>15</v>
      </c>
      <c r="Q45" s="3">
        <f t="shared" si="20"/>
        <v>16</v>
      </c>
      <c r="R45" s="3">
        <f t="shared" si="20"/>
        <v>17</v>
      </c>
      <c r="S45" s="3">
        <f t="shared" si="20"/>
        <v>18</v>
      </c>
      <c r="T45" s="3">
        <f t="shared" si="20"/>
        <v>19</v>
      </c>
      <c r="U45" s="3">
        <f t="shared" si="20"/>
        <v>20</v>
      </c>
      <c r="V45" s="3">
        <f t="shared" si="20"/>
        <v>21</v>
      </c>
      <c r="W45" s="3">
        <f t="shared" si="20"/>
        <v>22</v>
      </c>
      <c r="X45" s="3">
        <f t="shared" si="20"/>
        <v>23</v>
      </c>
      <c r="Y45" s="3">
        <f t="shared" si="20"/>
        <v>24</v>
      </c>
      <c r="Z45" s="3">
        <f t="shared" si="20"/>
        <v>25</v>
      </c>
      <c r="AA45" s="3"/>
      <c r="AB45" s="3"/>
      <c r="AC45" s="3"/>
      <c r="AD45" s="3"/>
    </row>
    <row r="46" spans="1:256" s="82" customFormat="1" ht="12.75" customHeight="1">
      <c r="A46" s="32" t="s">
        <v>138</v>
      </c>
      <c r="B46" s="32">
        <f>B42+SUMIF($B45:B45,B$54,$B43:B43)</f>
        <v>25500</v>
      </c>
      <c r="C46" s="32">
        <f>C42+SUMIF($B45:C45,C$54,$B43:C43)</f>
        <v>0</v>
      </c>
      <c r="D46" s="32">
        <f>D42+SUMIF($B45:D45,D$54,$B43:D43)</f>
        <v>0</v>
      </c>
      <c r="E46" s="32">
        <f>E42+SUMIF($B45:E45,E$54,$B43:E43)</f>
        <v>0</v>
      </c>
      <c r="F46" s="32">
        <f>F42+SUMIF($B45:F45,F$54,$B43:F43)</f>
        <v>0</v>
      </c>
      <c r="G46" s="32">
        <f>G42+SUMIF($B45:G45,G$54,$B43:G43)</f>
        <v>0</v>
      </c>
      <c r="H46" s="32">
        <f>H42+SUMIF($B45:H45,H$54,$B43:H43)</f>
        <v>0</v>
      </c>
      <c r="I46" s="32">
        <f>I42+SUMIF($B45:I45,I$54,$B43:I43)</f>
        <v>0</v>
      </c>
      <c r="J46" s="32">
        <f>J42+SUMIF($B45:J45,J$54,$B43:J43)</f>
        <v>0</v>
      </c>
      <c r="K46" s="32">
        <f>K42+SUMIF($B45:K45,K$54,$B43:K43)</f>
        <v>0</v>
      </c>
      <c r="L46" s="32">
        <f>L42+SUMIF($B45:L45,L$54,$B43:L43)</f>
        <v>0</v>
      </c>
      <c r="M46" s="32">
        <f>M42+SUMIF($B45:M45,M$54,$B43:M43)</f>
        <v>0</v>
      </c>
      <c r="N46" s="32">
        <f>SUM(B46:M46)</f>
        <v>25500</v>
      </c>
      <c r="O46" s="32">
        <f>O42+SUMIF($B45:O45,O$54,$B43:O43)</f>
        <v>7000</v>
      </c>
      <c r="P46" s="32">
        <f>P42+SUMIF($B45:P45,P$54,$B43:P43)</f>
        <v>0</v>
      </c>
      <c r="Q46" s="32">
        <f>Q42+SUMIF($B45:Q45,Q$54,$B43:Q43)</f>
        <v>0</v>
      </c>
      <c r="R46" s="32">
        <f>R42+SUMIF($B45:R45,R$54,$B43:R43)</f>
        <v>0</v>
      </c>
      <c r="S46" s="32">
        <f>S42+SUMIF($B45:S45,S$54,$B43:S43)</f>
        <v>0</v>
      </c>
      <c r="T46" s="32">
        <f>T42+SUMIF($B45:T45,T$54,$B43:T43)</f>
        <v>0</v>
      </c>
      <c r="U46" s="32">
        <f>U42+SUMIF($B45:U45,U$54,$B43:U43)</f>
        <v>0</v>
      </c>
      <c r="V46" s="32">
        <f>V42+SUMIF($B45:V45,V$54,$B43:V43)</f>
        <v>0</v>
      </c>
      <c r="W46" s="32">
        <f>W42+SUMIF($B45:W45,W$54,$B43:W43)</f>
        <v>0</v>
      </c>
      <c r="X46" s="32">
        <f>X42+SUMIF($B45:X45,X$54,$B43:X43)</f>
        <v>0</v>
      </c>
      <c r="Y46" s="32">
        <f>Y42+SUMIF($B45:Y45,Y$54,$B43:Y43)</f>
        <v>0</v>
      </c>
      <c r="Z46" s="32">
        <f>Z42+SUMIF($B45:Z45,Z$54,$B43:Z43)</f>
        <v>0</v>
      </c>
      <c r="AA46" s="32">
        <f>SUM(O46:Z46)</f>
        <v>7000</v>
      </c>
      <c r="AB46" s="32">
        <f>AA47+AB41-AB47</f>
        <v>7000</v>
      </c>
      <c r="AC46" s="32">
        <f>AB47+AC41-AC47</f>
        <v>0</v>
      </c>
      <c r="AD46" s="32">
        <f>AC47+AD41-AD47</f>
        <v>0</v>
      </c>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82" customFormat="1" ht="12.75" customHeight="1">
      <c r="A47" s="32" t="s">
        <v>193</v>
      </c>
      <c r="B47" s="32">
        <f>B41-B46</f>
        <v>0</v>
      </c>
      <c r="C47" s="32">
        <f aca="true" t="shared" si="21" ref="C47:M47">B47+C41-C46</f>
        <v>0</v>
      </c>
      <c r="D47" s="32">
        <f t="shared" si="21"/>
        <v>0</v>
      </c>
      <c r="E47" s="32">
        <f t="shared" si="21"/>
        <v>0</v>
      </c>
      <c r="F47" s="32">
        <f t="shared" si="21"/>
        <v>0</v>
      </c>
      <c r="G47" s="32">
        <f t="shared" si="21"/>
        <v>0</v>
      </c>
      <c r="H47" s="32">
        <f t="shared" si="21"/>
        <v>0</v>
      </c>
      <c r="I47" s="32">
        <f t="shared" si="21"/>
        <v>0</v>
      </c>
      <c r="J47" s="32">
        <f t="shared" si="21"/>
        <v>0</v>
      </c>
      <c r="K47" s="32">
        <f t="shared" si="21"/>
        <v>0</v>
      </c>
      <c r="L47" s="32">
        <f t="shared" si="21"/>
        <v>0</v>
      </c>
      <c r="M47" s="32">
        <f t="shared" si="21"/>
        <v>0</v>
      </c>
      <c r="N47" s="32">
        <f>M47</f>
        <v>0</v>
      </c>
      <c r="O47" s="32">
        <f aca="true" t="shared" si="22" ref="O47:Z47">N47+O41-O46</f>
        <v>0</v>
      </c>
      <c r="P47" s="32">
        <f t="shared" si="22"/>
        <v>0</v>
      </c>
      <c r="Q47" s="32">
        <f t="shared" si="22"/>
        <v>0</v>
      </c>
      <c r="R47" s="32">
        <f t="shared" si="22"/>
        <v>0</v>
      </c>
      <c r="S47" s="32">
        <f t="shared" si="22"/>
        <v>0</v>
      </c>
      <c r="T47" s="32">
        <f t="shared" si="22"/>
        <v>0</v>
      </c>
      <c r="U47" s="32">
        <f t="shared" si="22"/>
        <v>0</v>
      </c>
      <c r="V47" s="32">
        <f t="shared" si="22"/>
        <v>0</v>
      </c>
      <c r="W47" s="32">
        <f t="shared" si="22"/>
        <v>0</v>
      </c>
      <c r="X47" s="32">
        <f t="shared" si="22"/>
        <v>0</v>
      </c>
      <c r="Y47" s="32">
        <f t="shared" si="22"/>
        <v>0</v>
      </c>
      <c r="Z47" s="32">
        <f t="shared" si="22"/>
        <v>0</v>
      </c>
      <c r="AA47" s="32">
        <f>Z47</f>
        <v>0</v>
      </c>
      <c r="AB47" s="32">
        <f>AB43*AB44/360</f>
        <v>0</v>
      </c>
      <c r="AC47" s="32">
        <f>AC43*AC44/360</f>
        <v>0</v>
      </c>
      <c r="AD47" s="32">
        <f>AD43*AD44/360</f>
        <v>0</v>
      </c>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82" customFormat="1" ht="12.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82" customFormat="1" ht="12.75" customHeight="1">
      <c r="A49"/>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82" customFormat="1" ht="12.75" customHeight="1">
      <c r="A50" s="80" t="s">
        <v>125</v>
      </c>
      <c r="B50" s="80">
        <f aca="true" t="shared" si="23" ref="B50:AD50">B20+B29+B38+B47</f>
        <v>0</v>
      </c>
      <c r="C50" s="80">
        <f t="shared" si="23"/>
        <v>0</v>
      </c>
      <c r="D50" s="80">
        <f t="shared" si="23"/>
        <v>0</v>
      </c>
      <c r="E50" s="80">
        <f t="shared" si="23"/>
        <v>0</v>
      </c>
      <c r="F50" s="80">
        <f t="shared" si="23"/>
        <v>0</v>
      </c>
      <c r="G50" s="80">
        <f t="shared" si="23"/>
        <v>0</v>
      </c>
      <c r="H50" s="80">
        <f t="shared" si="23"/>
        <v>0</v>
      </c>
      <c r="I50" s="80">
        <f t="shared" si="23"/>
        <v>0</v>
      </c>
      <c r="J50" s="80">
        <f t="shared" si="23"/>
        <v>0</v>
      </c>
      <c r="K50" s="80">
        <f t="shared" si="23"/>
        <v>0</v>
      </c>
      <c r="L50" s="80">
        <f t="shared" si="23"/>
        <v>0</v>
      </c>
      <c r="M50" s="80">
        <f t="shared" si="23"/>
        <v>0</v>
      </c>
      <c r="N50" s="80">
        <f t="shared" si="23"/>
        <v>0</v>
      </c>
      <c r="O50" s="80">
        <f t="shared" si="23"/>
        <v>0</v>
      </c>
      <c r="P50" s="80">
        <f t="shared" si="23"/>
        <v>0</v>
      </c>
      <c r="Q50" s="80">
        <f t="shared" si="23"/>
        <v>0</v>
      </c>
      <c r="R50" s="80">
        <f t="shared" si="23"/>
        <v>0</v>
      </c>
      <c r="S50" s="80">
        <f t="shared" si="23"/>
        <v>0</v>
      </c>
      <c r="T50" s="80">
        <f t="shared" si="23"/>
        <v>0</v>
      </c>
      <c r="U50" s="80">
        <f t="shared" si="23"/>
        <v>0</v>
      </c>
      <c r="V50" s="80">
        <f t="shared" si="23"/>
        <v>0</v>
      </c>
      <c r="W50" s="80">
        <f t="shared" si="23"/>
        <v>0</v>
      </c>
      <c r="X50" s="80">
        <f t="shared" si="23"/>
        <v>0</v>
      </c>
      <c r="Y50" s="80">
        <f t="shared" si="23"/>
        <v>0</v>
      </c>
      <c r="Z50" s="80">
        <f t="shared" si="23"/>
        <v>0</v>
      </c>
      <c r="AA50" s="80">
        <f t="shared" si="23"/>
        <v>0</v>
      </c>
      <c r="AB50" s="80">
        <f t="shared" si="23"/>
        <v>0</v>
      </c>
      <c r="AC50" s="80">
        <f t="shared" si="23"/>
        <v>0</v>
      </c>
      <c r="AD50" s="80">
        <f t="shared" si="23"/>
        <v>0</v>
      </c>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82" customFormat="1" ht="12.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82" customFormat="1" ht="12.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ht="12.75" customHeight="1"/>
    <row r="54" spans="1:30" ht="12.75">
      <c r="A54" s="4" t="s">
        <v>12</v>
      </c>
      <c r="B54" s="4">
        <v>1</v>
      </c>
      <c r="C54" s="4">
        <v>2</v>
      </c>
      <c r="D54" s="4">
        <v>3</v>
      </c>
      <c r="E54" s="4">
        <v>4</v>
      </c>
      <c r="F54" s="4">
        <v>5</v>
      </c>
      <c r="G54" s="4">
        <v>6</v>
      </c>
      <c r="H54" s="4">
        <v>7</v>
      </c>
      <c r="I54" s="4">
        <v>8</v>
      </c>
      <c r="J54" s="4">
        <v>9</v>
      </c>
      <c r="K54" s="4">
        <v>10</v>
      </c>
      <c r="L54" s="4">
        <v>11</v>
      </c>
      <c r="M54" s="4">
        <v>12</v>
      </c>
      <c r="N54" s="4"/>
      <c r="O54" s="4">
        <v>13</v>
      </c>
      <c r="P54" s="4">
        <v>14</v>
      </c>
      <c r="Q54" s="4">
        <v>15</v>
      </c>
      <c r="R54" s="4">
        <v>16</v>
      </c>
      <c r="S54" s="4">
        <v>17</v>
      </c>
      <c r="T54" s="4">
        <v>18</v>
      </c>
      <c r="U54" s="4">
        <v>19</v>
      </c>
      <c r="V54" s="4">
        <v>20</v>
      </c>
      <c r="W54" s="4">
        <v>21</v>
      </c>
      <c r="X54" s="4">
        <v>22</v>
      </c>
      <c r="Y54" s="4">
        <v>23</v>
      </c>
      <c r="Z54" s="4">
        <v>24</v>
      </c>
      <c r="AA54" s="4"/>
      <c r="AB54" s="4"/>
      <c r="AC54" s="4"/>
      <c r="AD54" s="4"/>
    </row>
    <row r="57" ht="12.75" customHeight="1"/>
    <row r="58" ht="12.75" customHeight="1"/>
  </sheetData>
  <sheetProtection/>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AG15"/>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AD16" sqref="AD16"/>
    </sheetView>
  </sheetViews>
  <sheetFormatPr defaultColWidth="9.140625" defaultRowHeight="12.75" outlineLevelCol="1"/>
  <cols>
    <col min="1" max="1" width="42.8515625" style="0" customWidth="1"/>
    <col min="2" max="13" width="13.28125" style="0" hidden="1" customWidth="1" outlineLevel="1"/>
    <col min="14" max="14" width="13.28125" style="0" customWidth="1" collapsed="1"/>
    <col min="15" max="26" width="13.28125" style="0" hidden="1" customWidth="1" outlineLevel="1"/>
    <col min="27" max="27" width="13.28125" style="0" customWidth="1" collapsed="1"/>
    <col min="28" max="30" width="13.28125" style="0" customWidth="1"/>
    <col min="33" max="33" width="9.421875" style="101" hidden="1" customWidth="1"/>
  </cols>
  <sheetData>
    <row r="1" spans="1:33" ht="15.75" customHeight="1">
      <c r="A1" s="141" t="str">
        <f>"EXTRAORDINARIOS  ("&amp;Introducción!E17&amp;")"</f>
        <v>EXTRAORDINARIOS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44"/>
      <c r="AG1" t="s">
        <v>149</v>
      </c>
    </row>
    <row r="2" spans="1:31" ht="12.7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44"/>
    </row>
    <row r="3" spans="1:33" s="140" customFormat="1" ht="15">
      <c r="A3" s="146" t="s">
        <v>119</v>
      </c>
      <c r="B3" s="146">
        <v>0</v>
      </c>
      <c r="C3" s="146">
        <v>0</v>
      </c>
      <c r="D3" s="146">
        <v>0</v>
      </c>
      <c r="E3" s="146">
        <v>0</v>
      </c>
      <c r="F3" s="146">
        <v>0</v>
      </c>
      <c r="G3" s="146">
        <v>0</v>
      </c>
      <c r="H3" s="146">
        <v>0</v>
      </c>
      <c r="I3" s="146">
        <v>0</v>
      </c>
      <c r="J3" s="146">
        <v>0</v>
      </c>
      <c r="K3" s="146">
        <v>0</v>
      </c>
      <c r="L3" s="146">
        <v>0</v>
      </c>
      <c r="M3" s="146">
        <v>0</v>
      </c>
      <c r="N3" s="146">
        <v>0</v>
      </c>
      <c r="O3" s="146">
        <v>0</v>
      </c>
      <c r="P3" s="146">
        <v>0</v>
      </c>
      <c r="Q3" s="146">
        <v>0</v>
      </c>
      <c r="R3" s="146">
        <v>0</v>
      </c>
      <c r="S3" s="146">
        <v>0</v>
      </c>
      <c r="T3" s="146">
        <v>0</v>
      </c>
      <c r="U3" s="146">
        <v>0</v>
      </c>
      <c r="V3" s="146">
        <v>0</v>
      </c>
      <c r="W3" s="146">
        <v>0</v>
      </c>
      <c r="X3" s="146">
        <v>0</v>
      </c>
      <c r="Y3" s="146">
        <v>0</v>
      </c>
      <c r="Z3" s="146">
        <v>0</v>
      </c>
      <c r="AA3" s="146">
        <v>0</v>
      </c>
      <c r="AB3" s="146">
        <v>0</v>
      </c>
      <c r="AC3" s="146">
        <v>0</v>
      </c>
      <c r="AD3" s="146">
        <v>0</v>
      </c>
      <c r="AE3" s="164"/>
      <c r="AG3" s="44"/>
    </row>
    <row r="4" spans="1:33" ht="12.7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G4" s="44"/>
    </row>
    <row r="5" spans="1:31" ht="12.75">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row>
    <row r="6" spans="1:33" s="39" customFormat="1" ht="11.25" hidden="1">
      <c r="A6" s="148" t="s">
        <v>212</v>
      </c>
      <c r="B6" s="148">
        <v>0</v>
      </c>
      <c r="C6" s="148">
        <v>0</v>
      </c>
      <c r="D6" s="148">
        <v>0</v>
      </c>
      <c r="E6" s="148">
        <v>0</v>
      </c>
      <c r="F6" s="148">
        <v>0</v>
      </c>
      <c r="G6" s="148">
        <v>0</v>
      </c>
      <c r="H6" s="148">
        <v>0</v>
      </c>
      <c r="I6" s="148">
        <v>0</v>
      </c>
      <c r="J6" s="148">
        <v>0</v>
      </c>
      <c r="K6" s="148">
        <v>0</v>
      </c>
      <c r="L6" s="148">
        <v>0</v>
      </c>
      <c r="M6" s="148">
        <v>0</v>
      </c>
      <c r="N6" s="148"/>
      <c r="O6" s="148">
        <v>0</v>
      </c>
      <c r="P6" s="148">
        <v>0</v>
      </c>
      <c r="Q6" s="148">
        <v>0</v>
      </c>
      <c r="R6" s="148">
        <v>0</v>
      </c>
      <c r="S6" s="148">
        <v>0</v>
      </c>
      <c r="T6" s="148">
        <v>0</v>
      </c>
      <c r="U6" s="148">
        <v>0</v>
      </c>
      <c r="V6" s="148">
        <v>0</v>
      </c>
      <c r="W6" s="148">
        <v>0</v>
      </c>
      <c r="X6" s="148">
        <v>0</v>
      </c>
      <c r="Y6" s="148">
        <v>0</v>
      </c>
      <c r="Z6" s="148">
        <v>0</v>
      </c>
      <c r="AA6" s="148"/>
      <c r="AB6" s="148">
        <v>0</v>
      </c>
      <c r="AC6" s="148">
        <v>0</v>
      </c>
      <c r="AD6" s="148">
        <v>0</v>
      </c>
      <c r="AE6" s="148"/>
      <c r="AG6" s="101"/>
    </row>
    <row r="7" spans="1:33" s="39" customFormat="1" ht="11.25" hidden="1">
      <c r="A7" s="148" t="s">
        <v>37</v>
      </c>
      <c r="B7" s="148">
        <v>0</v>
      </c>
      <c r="C7" s="148">
        <v>0</v>
      </c>
      <c r="D7" s="148">
        <v>0</v>
      </c>
      <c r="E7" s="148">
        <v>0</v>
      </c>
      <c r="F7" s="148">
        <v>0</v>
      </c>
      <c r="G7" s="148">
        <v>0</v>
      </c>
      <c r="H7" s="148">
        <v>0</v>
      </c>
      <c r="I7" s="148">
        <v>0</v>
      </c>
      <c r="J7" s="148">
        <v>0</v>
      </c>
      <c r="K7" s="148">
        <v>0</v>
      </c>
      <c r="L7" s="148">
        <v>0</v>
      </c>
      <c r="M7" s="148">
        <v>0</v>
      </c>
      <c r="N7" s="148"/>
      <c r="O7" s="148">
        <v>0</v>
      </c>
      <c r="P7" s="148">
        <v>0</v>
      </c>
      <c r="Q7" s="148">
        <v>0</v>
      </c>
      <c r="R7" s="148">
        <v>0</v>
      </c>
      <c r="S7" s="148">
        <v>0</v>
      </c>
      <c r="T7" s="148">
        <v>0</v>
      </c>
      <c r="U7" s="148">
        <v>0</v>
      </c>
      <c r="V7" s="148">
        <v>0</v>
      </c>
      <c r="W7" s="148">
        <v>0</v>
      </c>
      <c r="X7" s="148">
        <v>0</v>
      </c>
      <c r="Y7" s="148">
        <v>0</v>
      </c>
      <c r="Z7" s="148">
        <v>0</v>
      </c>
      <c r="AA7" s="148"/>
      <c r="AB7" s="148">
        <v>0</v>
      </c>
      <c r="AC7" s="148">
        <v>0</v>
      </c>
      <c r="AD7" s="148">
        <v>0</v>
      </c>
      <c r="AE7" s="148"/>
      <c r="AG7" s="44"/>
    </row>
    <row r="8" spans="1:33" ht="12.75">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G8" s="44"/>
    </row>
    <row r="9" spans="1:33" ht="12.75">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G9" s="44"/>
    </row>
    <row r="11" ht="12.75">
      <c r="AG11" s="139"/>
    </row>
    <row r="14" ht="12.75">
      <c r="AG14" s="139"/>
    </row>
    <row r="15" ht="12.75">
      <c r="AG15" s="139"/>
    </row>
  </sheetData>
  <sheetProtection/>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IV31"/>
  <sheetViews>
    <sheetView showGridLines="0" zoomScalePageLayoutView="0" workbookViewId="0" topLeftCell="A1">
      <pane xSplit="1" ySplit="1" topLeftCell="N2" activePane="bottomRight" state="frozen"/>
      <selection pane="topLeft" activeCell="G19" sqref="G19"/>
      <selection pane="topRight" activeCell="G19" sqref="G19"/>
      <selection pane="bottomLeft" activeCell="G19" sqref="G19"/>
      <selection pane="bottomRight" activeCell="N28" sqref="N28"/>
    </sheetView>
  </sheetViews>
  <sheetFormatPr defaultColWidth="11.7109375" defaultRowHeight="12.75" outlineLevelCol="1"/>
  <cols>
    <col min="1" max="1" width="42.8515625" style="0" customWidth="1"/>
    <col min="2" max="13" width="13.28125" style="115" hidden="1" customWidth="1" outlineLevel="1"/>
    <col min="14" max="14" width="13.28125" style="115" customWidth="1" collapsed="1"/>
    <col min="15" max="26" width="13.28125" style="115" hidden="1" customWidth="1" outlineLevel="1"/>
    <col min="27" max="27" width="13.28125" style="115" customWidth="1" collapsed="1"/>
    <col min="28" max="30" width="13.28125" style="115" customWidth="1"/>
    <col min="31" max="31" width="11.7109375" style="0" customWidth="1"/>
    <col min="32" max="32" width="11.7109375" style="0" hidden="1" customWidth="1"/>
    <col min="33" max="33" width="11.7109375" style="0" customWidth="1"/>
    <col min="34" max="34" width="14.28125" style="0" bestFit="1" customWidth="1"/>
    <col min="35" max="35" width="11.8515625" style="0" bestFit="1" customWidth="1"/>
  </cols>
  <sheetData>
    <row r="1" spans="1:33" s="145" customFormat="1" ht="15.75" customHeight="1">
      <c r="A1" s="141" t="str">
        <f>"IMPUESTOS ("&amp;Introducción!E17&amp;")"</f>
        <v>IMPUESTOS (Dólares)</v>
      </c>
      <c r="B1" s="142">
        <f>DATE(Introducción!E14,Introducción!E13,1)</f>
        <v>42370</v>
      </c>
      <c r="C1" s="142">
        <f aca="true" t="shared" si="0" ref="C1:M1">IF(MONTH(B1)=12,DATE(YEAR(B1)+1,1,1),DATE(YEAR(B1),MONTH(B1)+1,1))</f>
        <v>42401</v>
      </c>
      <c r="D1" s="142">
        <f t="shared" si="0"/>
        <v>42430</v>
      </c>
      <c r="E1" s="142">
        <f t="shared" si="0"/>
        <v>42461</v>
      </c>
      <c r="F1" s="142">
        <f t="shared" si="0"/>
        <v>42491</v>
      </c>
      <c r="G1" s="142">
        <f t="shared" si="0"/>
        <v>42522</v>
      </c>
      <c r="H1" s="142">
        <f t="shared" si="0"/>
        <v>42552</v>
      </c>
      <c r="I1" s="142">
        <f t="shared" si="0"/>
        <v>42583</v>
      </c>
      <c r="J1" s="142">
        <f t="shared" si="0"/>
        <v>42614</v>
      </c>
      <c r="K1" s="142">
        <f t="shared" si="0"/>
        <v>42644</v>
      </c>
      <c r="L1" s="142">
        <f t="shared" si="0"/>
        <v>42675</v>
      </c>
      <c r="M1" s="142">
        <f t="shared" si="0"/>
        <v>42705</v>
      </c>
      <c r="N1" s="143">
        <f>YEAR(M1)</f>
        <v>2016</v>
      </c>
      <c r="O1" s="142">
        <f>IF(MONTH(M1)=12,DATE(YEAR(M1)+1,1,1),DATE(YEAR(M1),MONTH(M1)+1,1))</f>
        <v>42736</v>
      </c>
      <c r="P1" s="142">
        <f aca="true" t="shared" si="1" ref="P1:Z1">IF(MONTH(O1)=12,DATE(YEAR(O1)+1,1,1),DATE(YEAR(O1),MONTH(O1)+1,1))</f>
        <v>42767</v>
      </c>
      <c r="Q1" s="142">
        <f t="shared" si="1"/>
        <v>42795</v>
      </c>
      <c r="R1" s="142">
        <f t="shared" si="1"/>
        <v>42826</v>
      </c>
      <c r="S1" s="142">
        <f t="shared" si="1"/>
        <v>42856</v>
      </c>
      <c r="T1" s="142">
        <f t="shared" si="1"/>
        <v>42887</v>
      </c>
      <c r="U1" s="142">
        <f t="shared" si="1"/>
        <v>42917</v>
      </c>
      <c r="V1" s="142">
        <f t="shared" si="1"/>
        <v>42948</v>
      </c>
      <c r="W1" s="142">
        <f t="shared" si="1"/>
        <v>42979</v>
      </c>
      <c r="X1" s="142">
        <f t="shared" si="1"/>
        <v>43009</v>
      </c>
      <c r="Y1" s="142">
        <f t="shared" si="1"/>
        <v>43040</v>
      </c>
      <c r="Z1" s="142">
        <f t="shared" si="1"/>
        <v>43070</v>
      </c>
      <c r="AA1" s="143">
        <f>YEAR(Z1)</f>
        <v>2017</v>
      </c>
      <c r="AB1" s="143">
        <f>1+AA1</f>
        <v>2018</v>
      </c>
      <c r="AC1" s="143">
        <f>1+AB1</f>
        <v>2019</v>
      </c>
      <c r="AD1" s="143">
        <f>1+AC1</f>
        <v>2020</v>
      </c>
      <c r="AE1" s="188"/>
      <c r="AF1" s="199"/>
      <c r="AG1" s="199"/>
    </row>
    <row r="2" spans="1:33" s="145" customFormat="1" ht="12.75" customHeight="1">
      <c r="A2" s="223"/>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188"/>
      <c r="AF2" s="199"/>
      <c r="AG2" s="199"/>
    </row>
    <row r="3" spans="1:256" s="170" customFormat="1" ht="12.75" customHeight="1" hidden="1">
      <c r="A3" s="225" t="s">
        <v>149</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199"/>
      <c r="AF3" s="199"/>
      <c r="AG3" s="199"/>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row>
    <row r="4" spans="1:256" s="172" customFormat="1" ht="12.75" customHeight="1" hidden="1">
      <c r="A4" s="227" t="s">
        <v>212</v>
      </c>
      <c r="B4" s="227">
        <f>Ingresos!B10+Extraordinarios!B6</f>
        <v>0</v>
      </c>
      <c r="C4" s="227">
        <f>Ingresos!C10+Extraordinarios!C6</f>
        <v>0</v>
      </c>
      <c r="D4" s="227">
        <f>Ingresos!D10+Extraordinarios!D6</f>
        <v>0</v>
      </c>
      <c r="E4" s="227">
        <f>Ingresos!E10+Extraordinarios!E6</f>
        <v>0</v>
      </c>
      <c r="F4" s="227">
        <f>Ingresos!F10+Extraordinarios!F6</f>
        <v>0</v>
      </c>
      <c r="G4" s="227">
        <f>Ingresos!G10+Extraordinarios!G6</f>
        <v>0</v>
      </c>
      <c r="H4" s="227">
        <f>Ingresos!H10+Extraordinarios!H6</f>
        <v>0</v>
      </c>
      <c r="I4" s="227">
        <f>Ingresos!I10+Extraordinarios!I6</f>
        <v>0</v>
      </c>
      <c r="J4" s="227">
        <f>Ingresos!J10+Extraordinarios!J6</f>
        <v>0</v>
      </c>
      <c r="K4" s="227">
        <f>Ingresos!K10+Extraordinarios!K6</f>
        <v>0</v>
      </c>
      <c r="L4" s="227">
        <f>Ingresos!L10+Extraordinarios!L6</f>
        <v>0</v>
      </c>
      <c r="M4" s="227">
        <f>Ingresos!M10+Extraordinarios!M6</f>
        <v>0</v>
      </c>
      <c r="N4" s="227">
        <f>SUM(B4:M4)</f>
        <v>0</v>
      </c>
      <c r="O4" s="227">
        <f>Ingresos!O10+Extraordinarios!O6</f>
        <v>0</v>
      </c>
      <c r="P4" s="227">
        <f>Ingresos!P10+Extraordinarios!P6</f>
        <v>0</v>
      </c>
      <c r="Q4" s="227">
        <f>Ingresos!Q10+Extraordinarios!Q6</f>
        <v>0</v>
      </c>
      <c r="R4" s="227">
        <f>Ingresos!R10+Extraordinarios!R6</f>
        <v>0</v>
      </c>
      <c r="S4" s="227">
        <f>Ingresos!S10+Extraordinarios!S6</f>
        <v>0</v>
      </c>
      <c r="T4" s="227">
        <f>Ingresos!T10+Extraordinarios!T6</f>
        <v>0</v>
      </c>
      <c r="U4" s="227">
        <f>Ingresos!U10+Extraordinarios!U6</f>
        <v>0</v>
      </c>
      <c r="V4" s="227">
        <f>Ingresos!V10+Extraordinarios!V6</f>
        <v>0</v>
      </c>
      <c r="W4" s="227">
        <f>Ingresos!W10+Extraordinarios!W6</f>
        <v>0</v>
      </c>
      <c r="X4" s="227">
        <f>Ingresos!X10+Extraordinarios!X6</f>
        <v>0</v>
      </c>
      <c r="Y4" s="227">
        <f>Ingresos!Y10+Extraordinarios!Y6</f>
        <v>0</v>
      </c>
      <c r="Z4" s="227">
        <f>Ingresos!Z10+Extraordinarios!Z6</f>
        <v>0</v>
      </c>
      <c r="AA4" s="227">
        <f>SUM(O4:Z4)</f>
        <v>0</v>
      </c>
      <c r="AB4" s="227">
        <f>Ingresos!AB10+Extraordinarios!AB6</f>
        <v>0</v>
      </c>
      <c r="AC4" s="227">
        <f>Ingresos!AC10+Extraordinarios!AC6</f>
        <v>0</v>
      </c>
      <c r="AD4" s="227">
        <f>Ingresos!AD10+Extraordinarios!AD6</f>
        <v>0</v>
      </c>
      <c r="AE4" s="199"/>
      <c r="AF4" s="199"/>
      <c r="AG4" s="199"/>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row>
    <row r="5" spans="1:256" s="172" customFormat="1" ht="12.75" customHeight="1" hidden="1">
      <c r="A5" s="227" t="s">
        <v>37</v>
      </c>
      <c r="B5" s="227">
        <f>'Costo de Ventas'!B16+'Gastos Fijos'!B13+Inversiones!B27+Extraordinarios!B7</f>
        <v>0</v>
      </c>
      <c r="C5" s="227">
        <f>'Costo de Ventas'!C16+'Gastos Fijos'!C13+Inversiones!C27+Extraordinarios!C7</f>
        <v>0</v>
      </c>
      <c r="D5" s="227">
        <f>'Costo de Ventas'!D16+'Gastos Fijos'!D13+Inversiones!D27+Extraordinarios!D7</f>
        <v>0</v>
      </c>
      <c r="E5" s="227">
        <f>'Costo de Ventas'!E16+'Gastos Fijos'!E13+Inversiones!E27+Extraordinarios!E7</f>
        <v>0</v>
      </c>
      <c r="F5" s="227">
        <f>'Costo de Ventas'!F16+'Gastos Fijos'!F13+Inversiones!F27+Extraordinarios!F7</f>
        <v>0</v>
      </c>
      <c r="G5" s="227">
        <f>'Costo de Ventas'!G16+'Gastos Fijos'!G13+Inversiones!G27+Extraordinarios!G7</f>
        <v>0</v>
      </c>
      <c r="H5" s="227">
        <f>'Costo de Ventas'!H16+'Gastos Fijos'!H13+Inversiones!H27+Extraordinarios!H7</f>
        <v>0</v>
      </c>
      <c r="I5" s="227">
        <f>'Costo de Ventas'!I16+'Gastos Fijos'!I13+Inversiones!I27+Extraordinarios!I7</f>
        <v>0</v>
      </c>
      <c r="J5" s="227">
        <f>'Costo de Ventas'!J16+'Gastos Fijos'!J13+Inversiones!J27+Extraordinarios!J7</f>
        <v>0</v>
      </c>
      <c r="K5" s="227">
        <f>'Costo de Ventas'!K16+'Gastos Fijos'!K13+Inversiones!K27+Extraordinarios!K7</f>
        <v>0</v>
      </c>
      <c r="L5" s="227">
        <f>'Costo de Ventas'!L16+'Gastos Fijos'!L13+Inversiones!L27+Extraordinarios!L7</f>
        <v>0</v>
      </c>
      <c r="M5" s="227">
        <f>'Costo de Ventas'!M16+'Gastos Fijos'!M13+Inversiones!M27+Extraordinarios!M7</f>
        <v>0</v>
      </c>
      <c r="N5" s="227">
        <f>SUM(B5:M5)</f>
        <v>0</v>
      </c>
      <c r="O5" s="227">
        <f>'Costo de Ventas'!O16+'Gastos Fijos'!O13+Inversiones!O27+Extraordinarios!O7</f>
        <v>0</v>
      </c>
      <c r="P5" s="227">
        <f>'Costo de Ventas'!P16+'Gastos Fijos'!P13+Inversiones!P27+Extraordinarios!P7</f>
        <v>0</v>
      </c>
      <c r="Q5" s="227">
        <f>'Costo de Ventas'!Q16+'Gastos Fijos'!Q13+Inversiones!Q27+Extraordinarios!Q7</f>
        <v>0</v>
      </c>
      <c r="R5" s="227">
        <f>'Costo de Ventas'!R16+'Gastos Fijos'!R13+Inversiones!R27+Extraordinarios!R7</f>
        <v>0</v>
      </c>
      <c r="S5" s="227">
        <f>'Costo de Ventas'!S16+'Gastos Fijos'!S13+Inversiones!S27+Extraordinarios!S7</f>
        <v>0</v>
      </c>
      <c r="T5" s="227">
        <f>'Costo de Ventas'!T16+'Gastos Fijos'!T13+Inversiones!T27+Extraordinarios!T7</f>
        <v>0</v>
      </c>
      <c r="U5" s="227">
        <f>'Costo de Ventas'!U16+'Gastos Fijos'!U13+Inversiones!U27+Extraordinarios!U7</f>
        <v>0</v>
      </c>
      <c r="V5" s="227">
        <f>'Costo de Ventas'!V16+'Gastos Fijos'!V13+Inversiones!V27+Extraordinarios!V7</f>
        <v>0</v>
      </c>
      <c r="W5" s="227">
        <f>'Costo de Ventas'!W16+'Gastos Fijos'!W13+Inversiones!W27+Extraordinarios!W7</f>
        <v>0</v>
      </c>
      <c r="X5" s="227">
        <f>'Costo de Ventas'!X16+'Gastos Fijos'!X13+Inversiones!X27+Extraordinarios!X7</f>
        <v>0</v>
      </c>
      <c r="Y5" s="227">
        <f>'Costo de Ventas'!Y16+'Gastos Fijos'!Y13+Inversiones!Y27+Extraordinarios!Y7</f>
        <v>0</v>
      </c>
      <c r="Z5" s="227">
        <f>'Costo de Ventas'!Z16+'Gastos Fijos'!Z13+Inversiones!Z27+Extraordinarios!Z7</f>
        <v>0</v>
      </c>
      <c r="AA5" s="227">
        <f>SUM(O5:Z5)</f>
        <v>0</v>
      </c>
      <c r="AB5" s="227">
        <f>'Costo de Ventas'!AB16+'Gastos Fijos'!AB13+Inversiones!AB27+Extraordinarios!AB7</f>
        <v>0</v>
      </c>
      <c r="AC5" s="227">
        <f>'Costo de Ventas'!AC16+'Gastos Fijos'!AC13+Inversiones!AC27+Extraordinarios!AC7</f>
        <v>0</v>
      </c>
      <c r="AD5" s="227">
        <f>'Costo de Ventas'!AD16+'Gastos Fijos'!AD13+Inversiones!AD27+Extraordinarios!AD7</f>
        <v>0</v>
      </c>
      <c r="AE5" s="199"/>
      <c r="AF5" s="199"/>
      <c r="AG5" s="199"/>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s="172" customFormat="1" ht="12.75" customHeight="1" hidden="1">
      <c r="A6" s="227" t="s">
        <v>190</v>
      </c>
      <c r="B6" s="227">
        <f aca="true" t="shared" si="2" ref="B6:AD6">B4-B5</f>
        <v>0</v>
      </c>
      <c r="C6" s="227">
        <f t="shared" si="2"/>
        <v>0</v>
      </c>
      <c r="D6" s="227">
        <f t="shared" si="2"/>
        <v>0</v>
      </c>
      <c r="E6" s="227">
        <f t="shared" si="2"/>
        <v>0</v>
      </c>
      <c r="F6" s="227">
        <f t="shared" si="2"/>
        <v>0</v>
      </c>
      <c r="G6" s="227">
        <f t="shared" si="2"/>
        <v>0</v>
      </c>
      <c r="H6" s="227">
        <f t="shared" si="2"/>
        <v>0</v>
      </c>
      <c r="I6" s="227">
        <f t="shared" si="2"/>
        <v>0</v>
      </c>
      <c r="J6" s="227">
        <f t="shared" si="2"/>
        <v>0</v>
      </c>
      <c r="K6" s="227">
        <f t="shared" si="2"/>
        <v>0</v>
      </c>
      <c r="L6" s="227">
        <f t="shared" si="2"/>
        <v>0</v>
      </c>
      <c r="M6" s="227">
        <f t="shared" si="2"/>
        <v>0</v>
      </c>
      <c r="N6" s="228">
        <f t="shared" si="2"/>
        <v>0</v>
      </c>
      <c r="O6" s="227">
        <f t="shared" si="2"/>
        <v>0</v>
      </c>
      <c r="P6" s="227">
        <f t="shared" si="2"/>
        <v>0</v>
      </c>
      <c r="Q6" s="227">
        <f t="shared" si="2"/>
        <v>0</v>
      </c>
      <c r="R6" s="227">
        <f t="shared" si="2"/>
        <v>0</v>
      </c>
      <c r="S6" s="227">
        <f t="shared" si="2"/>
        <v>0</v>
      </c>
      <c r="T6" s="227">
        <f t="shared" si="2"/>
        <v>0</v>
      </c>
      <c r="U6" s="227">
        <f t="shared" si="2"/>
        <v>0</v>
      </c>
      <c r="V6" s="227">
        <f t="shared" si="2"/>
        <v>0</v>
      </c>
      <c r="W6" s="227">
        <f t="shared" si="2"/>
        <v>0</v>
      </c>
      <c r="X6" s="227">
        <f t="shared" si="2"/>
        <v>0</v>
      </c>
      <c r="Y6" s="227">
        <f t="shared" si="2"/>
        <v>0</v>
      </c>
      <c r="Z6" s="227">
        <f t="shared" si="2"/>
        <v>0</v>
      </c>
      <c r="AA6" s="227">
        <f t="shared" si="2"/>
        <v>0</v>
      </c>
      <c r="AB6" s="227">
        <f t="shared" si="2"/>
        <v>0</v>
      </c>
      <c r="AC6" s="227">
        <f t="shared" si="2"/>
        <v>0</v>
      </c>
      <c r="AD6" s="227">
        <f t="shared" si="2"/>
        <v>0</v>
      </c>
      <c r="AE6" s="199"/>
      <c r="AF6" s="199"/>
      <c r="AG6" s="199"/>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72" customFormat="1" ht="12.75" customHeight="1" hidden="1">
      <c r="A7" s="227" t="s">
        <v>146</v>
      </c>
      <c r="B7" s="227">
        <f>IF(B6&lt;0,-B6,IF(B6&gt;'Valores de Inicio'!B8,-'Valores de Inicio'!B8,-B6))</f>
        <v>0</v>
      </c>
      <c r="C7" s="227">
        <f aca="true" t="shared" si="3" ref="C7:M7">IF(C6&lt;0,-C6,IF(C6&gt;B8,-B8,-C6))</f>
        <v>0</v>
      </c>
      <c r="D7" s="227">
        <f t="shared" si="3"/>
        <v>0</v>
      </c>
      <c r="E7" s="227">
        <f t="shared" si="3"/>
        <v>0</v>
      </c>
      <c r="F7" s="227">
        <f t="shared" si="3"/>
        <v>0</v>
      </c>
      <c r="G7" s="227">
        <f t="shared" si="3"/>
        <v>0</v>
      </c>
      <c r="H7" s="227">
        <f t="shared" si="3"/>
        <v>0</v>
      </c>
      <c r="I7" s="227">
        <f t="shared" si="3"/>
        <v>0</v>
      </c>
      <c r="J7" s="227">
        <f t="shared" si="3"/>
        <v>0</v>
      </c>
      <c r="K7" s="227">
        <f t="shared" si="3"/>
        <v>0</v>
      </c>
      <c r="L7" s="227">
        <f t="shared" si="3"/>
        <v>0</v>
      </c>
      <c r="M7" s="227">
        <f t="shared" si="3"/>
        <v>0</v>
      </c>
      <c r="N7" s="227">
        <f>SUM(B7:M7)</f>
        <v>0</v>
      </c>
      <c r="O7" s="227">
        <f aca="true" t="shared" si="4" ref="O7:Z7">IF(O6&lt;0,-O6,IF(O6&gt;N8,-N8,-O6))</f>
        <v>0</v>
      </c>
      <c r="P7" s="227">
        <f t="shared" si="4"/>
        <v>0</v>
      </c>
      <c r="Q7" s="227">
        <f t="shared" si="4"/>
        <v>0</v>
      </c>
      <c r="R7" s="227">
        <f t="shared" si="4"/>
        <v>0</v>
      </c>
      <c r="S7" s="227">
        <f t="shared" si="4"/>
        <v>0</v>
      </c>
      <c r="T7" s="227">
        <f t="shared" si="4"/>
        <v>0</v>
      </c>
      <c r="U7" s="227">
        <f t="shared" si="4"/>
        <v>0</v>
      </c>
      <c r="V7" s="227">
        <f t="shared" si="4"/>
        <v>0</v>
      </c>
      <c r="W7" s="227">
        <f t="shared" si="4"/>
        <v>0</v>
      </c>
      <c r="X7" s="227">
        <f t="shared" si="4"/>
        <v>0</v>
      </c>
      <c r="Y7" s="227">
        <f t="shared" si="4"/>
        <v>0</v>
      </c>
      <c r="Z7" s="227">
        <f t="shared" si="4"/>
        <v>0</v>
      </c>
      <c r="AA7" s="227">
        <f>SUM(O7:Z7)</f>
        <v>0</v>
      </c>
      <c r="AB7" s="227">
        <f>IF(AB6&lt;0,-AB6,IF(AB6&gt;AA8,-AA8,-AB6))</f>
        <v>0</v>
      </c>
      <c r="AC7" s="227">
        <f>IF(AC6&lt;0,-AC6,IF(AC6&gt;AB8,-AB8,-AC6))</f>
        <v>0</v>
      </c>
      <c r="AD7" s="227">
        <f>IF(AD6&lt;0,-AD6,IF(AD6&gt;AC8,-AC8,-AD6))</f>
        <v>0</v>
      </c>
      <c r="AE7" s="199"/>
      <c r="AF7" s="199"/>
      <c r="AG7" s="199"/>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c r="IV7" s="145"/>
    </row>
    <row r="8" spans="1:256" s="172" customFormat="1" ht="12.75" customHeight="1" hidden="1">
      <c r="A8" s="227" t="s">
        <v>36</v>
      </c>
      <c r="B8" s="227">
        <f>B7+'Valores de Inicio'!B8</f>
        <v>0</v>
      </c>
      <c r="C8" s="227">
        <f aca="true" t="shared" si="5" ref="C8:M8">C7+B8</f>
        <v>0</v>
      </c>
      <c r="D8" s="227">
        <f t="shared" si="5"/>
        <v>0</v>
      </c>
      <c r="E8" s="227">
        <f t="shared" si="5"/>
        <v>0</v>
      </c>
      <c r="F8" s="227">
        <f t="shared" si="5"/>
        <v>0</v>
      </c>
      <c r="G8" s="227">
        <f t="shared" si="5"/>
        <v>0</v>
      </c>
      <c r="H8" s="227">
        <f t="shared" si="5"/>
        <v>0</v>
      </c>
      <c r="I8" s="227">
        <f t="shared" si="5"/>
        <v>0</v>
      </c>
      <c r="J8" s="227">
        <f t="shared" si="5"/>
        <v>0</v>
      </c>
      <c r="K8" s="227">
        <f t="shared" si="5"/>
        <v>0</v>
      </c>
      <c r="L8" s="227">
        <f t="shared" si="5"/>
        <v>0</v>
      </c>
      <c r="M8" s="227">
        <f t="shared" si="5"/>
        <v>0</v>
      </c>
      <c r="N8" s="227">
        <f>M8</f>
        <v>0</v>
      </c>
      <c r="O8" s="227">
        <f>O7+M8</f>
        <v>0</v>
      </c>
      <c r="P8" s="227">
        <f aca="true" t="shared" si="6" ref="P8:Z8">P7+O8</f>
        <v>0</v>
      </c>
      <c r="Q8" s="227">
        <f t="shared" si="6"/>
        <v>0</v>
      </c>
      <c r="R8" s="227">
        <f t="shared" si="6"/>
        <v>0</v>
      </c>
      <c r="S8" s="227">
        <f t="shared" si="6"/>
        <v>0</v>
      </c>
      <c r="T8" s="227">
        <f t="shared" si="6"/>
        <v>0</v>
      </c>
      <c r="U8" s="227">
        <f t="shared" si="6"/>
        <v>0</v>
      </c>
      <c r="V8" s="227">
        <f t="shared" si="6"/>
        <v>0</v>
      </c>
      <c r="W8" s="227">
        <f t="shared" si="6"/>
        <v>0</v>
      </c>
      <c r="X8" s="227">
        <f t="shared" si="6"/>
        <v>0</v>
      </c>
      <c r="Y8" s="227">
        <f t="shared" si="6"/>
        <v>0</v>
      </c>
      <c r="Z8" s="227">
        <f t="shared" si="6"/>
        <v>0</v>
      </c>
      <c r="AA8" s="227">
        <f>Z8</f>
        <v>0</v>
      </c>
      <c r="AB8" s="227">
        <f>AB7+AA8</f>
        <v>0</v>
      </c>
      <c r="AC8" s="227">
        <f>AC7+AB8</f>
        <v>0</v>
      </c>
      <c r="AD8" s="227">
        <f>AD7+AC8</f>
        <v>0</v>
      </c>
      <c r="AE8" s="199"/>
      <c r="AF8" s="199"/>
      <c r="AG8" s="199"/>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c r="IV8" s="145"/>
    </row>
    <row r="9" spans="1:33" s="145" customFormat="1" ht="12.75" customHeight="1" hidden="1">
      <c r="A9" s="223"/>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199"/>
      <c r="AF9" s="199"/>
      <c r="AG9" s="199"/>
    </row>
    <row r="10" spans="1:33" s="145" customFormat="1" ht="12.75" customHeight="1" hidden="1">
      <c r="A10" s="223"/>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199"/>
      <c r="AF10" s="199"/>
      <c r="AG10" s="199"/>
    </row>
    <row r="11" spans="1:256" s="170" customFormat="1" ht="12.75" customHeight="1">
      <c r="A11" s="225" t="s">
        <v>166</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199"/>
      <c r="AF11" s="199"/>
      <c r="AG11" s="199"/>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s="173" customFormat="1" ht="12.75" customHeight="1">
      <c r="A12" s="227" t="s">
        <v>44</v>
      </c>
      <c r="B12" s="330">
        <f>+IF(Impuestos!$AH$29&gt;'Estado Resultados'!$N$3,Impuestos!$AI$29,0)+IF(AND($AH$30&gt;'Estado Resultados'!$N$3,'Estado Resultados'!$N$3&gt;Impuestos!$AH$29),Impuestos!$AI$30,0)+IF('Estado Resultados'!$N$3&gt;Impuestos!$AH$31,Impuestos!$AI$31,0)</f>
        <v>0.2</v>
      </c>
      <c r="C12" s="330">
        <f>+IF(Impuestos!$AH$29&gt;'Estado Resultados'!$N$3,Impuestos!$AI$29,0)+IF(AND($AH$30&gt;'Estado Resultados'!$N$3,'Estado Resultados'!$N$3&gt;Impuestos!$AH$29),Impuestos!$AI$30,0)+IF('Estado Resultados'!$N$3&gt;Impuestos!$AH$31,Impuestos!$AI$31,0)</f>
        <v>0.2</v>
      </c>
      <c r="D12" s="330">
        <f>+IF(Impuestos!$AH$29&gt;'Estado Resultados'!$N$3,Impuestos!$AI$29,0)+IF(AND($AH$30&gt;'Estado Resultados'!$N$3,'Estado Resultados'!$N$3&gt;Impuestos!$AH$29),Impuestos!$AI$30,0)+IF('Estado Resultados'!$N$3&gt;Impuestos!$AH$31,Impuestos!$AI$31,0)</f>
        <v>0.2</v>
      </c>
      <c r="E12" s="330">
        <f>+IF(Impuestos!$AH$29&gt;'Estado Resultados'!$N$3,Impuestos!$AI$29,0)+IF(AND($AH$30&gt;'Estado Resultados'!$N$3,'Estado Resultados'!$N$3&gt;Impuestos!$AH$29),Impuestos!$AI$30,0)+IF('Estado Resultados'!$N$3&gt;Impuestos!$AH$31,Impuestos!$AI$31,0)</f>
        <v>0.2</v>
      </c>
      <c r="F12" s="330">
        <f>+IF(Impuestos!$AH$29&gt;'Estado Resultados'!$N$3,Impuestos!$AI$29,0)+IF(AND($AH$30&gt;'Estado Resultados'!$N$3,'Estado Resultados'!$N$3&gt;Impuestos!$AH$29),Impuestos!$AI$30,0)+IF('Estado Resultados'!$N$3&gt;Impuestos!$AH$31,Impuestos!$AI$31,0)</f>
        <v>0.2</v>
      </c>
      <c r="G12" s="330">
        <f>+IF(Impuestos!$AH$29&gt;'Estado Resultados'!$N$3,Impuestos!$AI$29,0)+IF(AND($AH$30&gt;'Estado Resultados'!$N$3,'Estado Resultados'!$N$3&gt;Impuestos!$AH$29),Impuestos!$AI$30,0)+IF('Estado Resultados'!$N$3&gt;Impuestos!$AH$31,Impuestos!$AI$31,0)</f>
        <v>0.2</v>
      </c>
      <c r="H12" s="330">
        <f>+IF(Impuestos!$AH$29&gt;'Estado Resultados'!$N$3,Impuestos!$AI$29,0)+IF(AND($AH$30&gt;'Estado Resultados'!$N$3,'Estado Resultados'!$N$3&gt;Impuestos!$AH$29),Impuestos!$AI$30,0)+IF('Estado Resultados'!$N$3&gt;Impuestos!$AH$31,Impuestos!$AI$31,0)</f>
        <v>0.2</v>
      </c>
      <c r="I12" s="330">
        <f>+IF(Impuestos!$AH$29&gt;'Estado Resultados'!$N$3,Impuestos!$AI$29,0)+IF(AND($AH$30&gt;'Estado Resultados'!$N$3,'Estado Resultados'!$N$3&gt;Impuestos!$AH$29),Impuestos!$AI$30,0)+IF('Estado Resultados'!$N$3&gt;Impuestos!$AH$31,Impuestos!$AI$31,0)</f>
        <v>0.2</v>
      </c>
      <c r="J12" s="330">
        <f>+IF(Impuestos!$AH$29&gt;'Estado Resultados'!$N$3,Impuestos!$AI$29,0)+IF(AND($AH$30&gt;'Estado Resultados'!$N$3,'Estado Resultados'!$N$3&gt;Impuestos!$AH$29),Impuestos!$AI$30,0)+IF('Estado Resultados'!$N$3&gt;Impuestos!$AH$31,Impuestos!$AI$31,0)</f>
        <v>0.2</v>
      </c>
      <c r="K12" s="330">
        <f>+IF(Impuestos!$AH$29&gt;'Estado Resultados'!$N$3,Impuestos!$AI$29,0)+IF(AND($AH$30&gt;'Estado Resultados'!$N$3,'Estado Resultados'!$N$3&gt;Impuestos!$AH$29),Impuestos!$AI$30,0)+IF('Estado Resultados'!$N$3&gt;Impuestos!$AH$31,Impuestos!$AI$31,0)</f>
        <v>0.2</v>
      </c>
      <c r="L12" s="330">
        <f>+IF(Impuestos!$AH$29&gt;'Estado Resultados'!$N$3,Impuestos!$AI$29,0)+IF(AND($AH$30&gt;'Estado Resultados'!$N$3,'Estado Resultados'!$N$3&gt;Impuestos!$AH$29),Impuestos!$AI$30,0)+IF('Estado Resultados'!$N$3&gt;Impuestos!$AH$31,Impuestos!$AI$31,0)</f>
        <v>0.2</v>
      </c>
      <c r="M12" s="330">
        <f>+IF(Impuestos!$AH$29&gt;'Estado Resultados'!$N$3,Impuestos!$AI$29,0)+IF(AND($AH$30&gt;'Estado Resultados'!$N$3,'Estado Resultados'!$N$3&gt;Impuestos!$AH$29),Impuestos!$AI$30,0)+IF('Estado Resultados'!$N$3&gt;Impuestos!$AH$31,Impuestos!$AI$31,0)</f>
        <v>0.2</v>
      </c>
      <c r="N12" s="330">
        <f>SUM(B12:M12)/12</f>
        <v>0.19999999999999998</v>
      </c>
      <c r="O12" s="330">
        <f>+IF(Impuestos!$AH$29&gt;'Estado Resultados'!$AA$3,Impuestos!$AI$29,0)+IF(AND($AH$30&gt;'Estado Resultados'!$AA$3,'Estado Resultados'!$AA$3&gt;Impuestos!$AH$29),Impuestos!$AI$30,0)+IF('Estado Resultados'!$AA$3&gt;Impuestos!$AH$31,Impuestos!$AI$31,0)</f>
        <v>0.3</v>
      </c>
      <c r="P12" s="330">
        <f>+IF(Impuestos!$AH$29&gt;'Estado Resultados'!$AA$3,Impuestos!$AI$29,0)+IF(AND($AH$30&gt;'Estado Resultados'!$AA$3,'Estado Resultados'!$AA$3&gt;Impuestos!$AH$29),Impuestos!$AI$30,0)+IF('Estado Resultados'!$AA$3&gt;Impuestos!$AH$31,Impuestos!$AI$31,0)</f>
        <v>0.3</v>
      </c>
      <c r="Q12" s="330">
        <f>+IF(Impuestos!$AH$29&gt;'Estado Resultados'!$AA$3,Impuestos!$AI$29,0)+IF(AND($AH$30&gt;'Estado Resultados'!$AA$3,'Estado Resultados'!$AA$3&gt;Impuestos!$AH$29),Impuestos!$AI$30,0)+IF('Estado Resultados'!$AA$3&gt;Impuestos!$AH$31,Impuestos!$AI$31,0)</f>
        <v>0.3</v>
      </c>
      <c r="R12" s="330">
        <f>+IF(Impuestos!$AH$29&gt;'Estado Resultados'!$AA$3,Impuestos!$AI$29,0)+IF(AND($AH$30&gt;'Estado Resultados'!$AA$3,'Estado Resultados'!$AA$3&gt;Impuestos!$AH$29),Impuestos!$AI$30,0)+IF('Estado Resultados'!$AA$3&gt;Impuestos!$AH$31,Impuestos!$AI$31,0)</f>
        <v>0.3</v>
      </c>
      <c r="S12" s="330">
        <f>+IF(Impuestos!$AH$29&gt;'Estado Resultados'!$AA$3,Impuestos!$AI$29,0)+IF(AND($AH$30&gt;'Estado Resultados'!$AA$3,'Estado Resultados'!$AA$3&gt;Impuestos!$AH$29),Impuestos!$AI$30,0)+IF('Estado Resultados'!$AA$3&gt;Impuestos!$AH$31,Impuestos!$AI$31,0)</f>
        <v>0.3</v>
      </c>
      <c r="T12" s="330">
        <f>+IF(Impuestos!$AH$29&gt;'Estado Resultados'!$AA$3,Impuestos!$AI$29,0)+IF(AND($AH$30&gt;'Estado Resultados'!$AA$3,'Estado Resultados'!$AA$3&gt;Impuestos!$AH$29),Impuestos!$AI$30,0)+IF('Estado Resultados'!$AA$3&gt;Impuestos!$AH$31,Impuestos!$AI$31,0)</f>
        <v>0.3</v>
      </c>
      <c r="U12" s="330">
        <f>+IF(Impuestos!$AH$29&gt;'Estado Resultados'!$AA$3,Impuestos!$AI$29,0)+IF(AND($AH$30&gt;'Estado Resultados'!$AA$3,'Estado Resultados'!$AA$3&gt;Impuestos!$AH$29),Impuestos!$AI$30,0)+IF('Estado Resultados'!$AA$3&gt;Impuestos!$AH$31,Impuestos!$AI$31,0)</f>
        <v>0.3</v>
      </c>
      <c r="V12" s="330">
        <f>+IF(Impuestos!$AH$29&gt;'Estado Resultados'!$AA$3,Impuestos!$AI$29,0)+IF(AND($AH$30&gt;'Estado Resultados'!$AA$3,'Estado Resultados'!$AA$3&gt;Impuestos!$AH$29),Impuestos!$AI$30,0)+IF('Estado Resultados'!$AA$3&gt;Impuestos!$AH$31,Impuestos!$AI$31,0)</f>
        <v>0.3</v>
      </c>
      <c r="W12" s="330">
        <f>+IF(Impuestos!$AH$29&gt;'Estado Resultados'!$AA$3,Impuestos!$AI$29,0)+IF(AND($AH$30&gt;'Estado Resultados'!$AA$3,'Estado Resultados'!$AA$3&gt;Impuestos!$AH$29),Impuestos!$AI$30,0)+IF('Estado Resultados'!$AA$3&gt;Impuestos!$AH$31,Impuestos!$AI$31,0)</f>
        <v>0.3</v>
      </c>
      <c r="X12" s="330">
        <f>+IF(Impuestos!$AH$29&gt;'Estado Resultados'!$AA$3,Impuestos!$AI$29,0)+IF(AND($AH$30&gt;'Estado Resultados'!$AA$3,'Estado Resultados'!$AA$3&gt;Impuestos!$AH$29),Impuestos!$AI$30,0)+IF('Estado Resultados'!$AA$3&gt;Impuestos!$AH$31,Impuestos!$AI$31,0)</f>
        <v>0.3</v>
      </c>
      <c r="Y12" s="330">
        <f>+IF(Impuestos!$AH$29&gt;'Estado Resultados'!$AA$3,Impuestos!$AI$29,0)+IF(AND($AH$30&gt;'Estado Resultados'!$AA$3,'Estado Resultados'!$AA$3&gt;Impuestos!$AH$29),Impuestos!$AI$30,0)+IF('Estado Resultados'!$AA$3&gt;Impuestos!$AH$31,Impuestos!$AI$31,0)</f>
        <v>0.3</v>
      </c>
      <c r="Z12" s="330">
        <f>+IF(Impuestos!$AH$29&gt;'Estado Resultados'!$AA$3,Impuestos!$AI$29,0)+IF(AND($AH$30&gt;'Estado Resultados'!$AA$3,'Estado Resultados'!$AA$3&gt;Impuestos!$AH$29),Impuestos!$AI$30,0)+IF('Estado Resultados'!$AA$3&gt;Impuestos!$AH$31,Impuestos!$AI$31,0)</f>
        <v>0.3</v>
      </c>
      <c r="AA12" s="330">
        <f>SUM(O12:Z12)/12</f>
        <v>0.29999999999999993</v>
      </c>
      <c r="AB12" s="330">
        <f>+IF(Impuestos!$AH$29&gt;'Estado Resultados'!AB3,Impuestos!$AI$29,0)+IF(AND($AH$30&gt;'Estado Resultados'!AB3,'Estado Resultados'!AB3&gt;Impuestos!$AH$29),Impuestos!$AI$30,0)+IF('Estado Resultados'!AB3&gt;Impuestos!$AH$31,Impuestos!$AI$31,0)</f>
        <v>0.3</v>
      </c>
      <c r="AC12" s="330">
        <f>+IF(Impuestos!$AH$29&gt;'Estado Resultados'!AC3,Impuestos!$AI$29,0)+IF(AND($AH$30&gt;'Estado Resultados'!AC3,'Estado Resultados'!AC3&gt;Impuestos!$AH$29),Impuestos!$AI$30,0)+IF('Estado Resultados'!AC3&gt;Impuestos!$AH$31,Impuestos!$AI$31,0)</f>
        <v>0.3</v>
      </c>
      <c r="AD12" s="330">
        <f>+IF(Impuestos!$AH$29&gt;'Estado Resultados'!AD3,Impuestos!$AI$29,0)+IF(AND($AH$30&gt;'Estado Resultados'!AD3,'Estado Resultados'!AD3&gt;Impuestos!$AH$29),Impuestos!$AI$30,0)+IF('Estado Resultados'!AD3&gt;Impuestos!$AH$31,Impuestos!$AI$31,0)</f>
        <v>0.3</v>
      </c>
      <c r="AE12" s="199"/>
      <c r="AF12" s="199"/>
      <c r="AG12" s="199"/>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s="173" customFormat="1" ht="12.75" customHeight="1">
      <c r="A13" s="227" t="s">
        <v>217</v>
      </c>
      <c r="B13" s="227">
        <f>Ingresos!B7-'Costo de Ventas'!B11-'Gastos Fijos'!B10-Salarios!B22-Inversiones!B24+Extraordinarios!B3-SUMPRODUCT(B18:B19,$AF18:$AF19)-Financiamiento!B14-Financiamiento!B22+Financiamiento!B26</f>
        <v>621.7361111111111</v>
      </c>
      <c r="C13" s="227">
        <f>Ingresos!C7-'Costo de Ventas'!C11-'Gastos Fijos'!C10-Salarios!C22-Inversiones!C24+Extraordinarios!C3-SUMPRODUCT(C18:C19,$AF18:$AF19)-Financiamiento!C14-Financiamiento!C22+Financiamiento!C26</f>
        <v>621.7361111111111</v>
      </c>
      <c r="D13" s="227">
        <f>Ingresos!D7-'Costo de Ventas'!D11-'Gastos Fijos'!D10-Salarios!D22-Inversiones!D24+Extraordinarios!D3-SUMPRODUCT(D18:D19,$AF18:$AF19)-Financiamiento!D14-Financiamiento!D22+Financiamiento!D26</f>
        <v>621.7361111111111</v>
      </c>
      <c r="E13" s="227">
        <f>Ingresos!E7-'Costo de Ventas'!E11-'Gastos Fijos'!E10-Salarios!E22-Inversiones!E24+Extraordinarios!E3-SUMPRODUCT(E18:E19,$AF18:$AF19)-Financiamiento!E14-Financiamiento!E22+Financiamiento!E26</f>
        <v>621.7361111111111</v>
      </c>
      <c r="F13" s="227">
        <f>Ingresos!F7-'Costo de Ventas'!F11-'Gastos Fijos'!F10-Salarios!F22-Inversiones!F24+Extraordinarios!F3-SUMPRODUCT(F18:F19,$AF18:$AF19)-Financiamiento!F14-Financiamiento!F22+Financiamiento!F26</f>
        <v>621.7361111111111</v>
      </c>
      <c r="G13" s="227">
        <f>Ingresos!G7-'Costo de Ventas'!G11-'Gastos Fijos'!G10-Salarios!G22-Inversiones!G24+Extraordinarios!G3-SUMPRODUCT(G18:G19,$AF18:$AF19)-Financiamiento!G14-Financiamiento!G22+Financiamiento!G26</f>
        <v>621.7361111111111</v>
      </c>
      <c r="H13" s="227">
        <f>Ingresos!H7-'Costo de Ventas'!H11-'Gastos Fijos'!H10-Salarios!H22-Inversiones!H24+Extraordinarios!H3-SUMPRODUCT(H18:H19,$AF18:$AF19)-Financiamiento!H14-Financiamiento!H22+Financiamiento!H26</f>
        <v>621.7361111111111</v>
      </c>
      <c r="I13" s="227">
        <f>Ingresos!I7-'Costo de Ventas'!I11-'Gastos Fijos'!I10-Salarios!I22-Inversiones!I24+Extraordinarios!I3-SUMPRODUCT(I18:I19,$AF18:$AF19)-Financiamiento!I14-Financiamiento!I22+Financiamiento!I26</f>
        <v>621.7361111111111</v>
      </c>
      <c r="J13" s="227">
        <f>Ingresos!J7-'Costo de Ventas'!J11-'Gastos Fijos'!J10-Salarios!J22-Inversiones!J24+Extraordinarios!J3-SUMPRODUCT(J18:J19,$AF18:$AF19)-Financiamiento!J14-Financiamiento!J22+Financiamiento!J26</f>
        <v>621.7361111111111</v>
      </c>
      <c r="K13" s="227">
        <f>Ingresos!K7-'Costo de Ventas'!K11-'Gastos Fijos'!K10-Salarios!K22-Inversiones!K24+Extraordinarios!K3-SUMPRODUCT(K18:K19,$AF18:$AF19)-Financiamiento!K14-Financiamiento!K22+Financiamiento!K26</f>
        <v>621.7361111111111</v>
      </c>
      <c r="L13" s="227">
        <f>Ingresos!L7-'Costo de Ventas'!L11-'Gastos Fijos'!L10-Salarios!L22-Inversiones!L24+Extraordinarios!L3-SUMPRODUCT(L18:L19,$AF18:$AF19)-Financiamiento!L14-Financiamiento!L22+Financiamiento!L26</f>
        <v>621.7361111111111</v>
      </c>
      <c r="M13" s="227">
        <f>Ingresos!M7-'Costo de Ventas'!M11-'Gastos Fijos'!M10-Salarios!M22-Inversiones!M24+Extraordinarios!M3-SUMPRODUCT(M18:M19,$AF18:$AF19)-Financiamiento!M14-Financiamiento!M22+Financiamiento!M26</f>
        <v>621.7361111111111</v>
      </c>
      <c r="N13" s="227">
        <f>SUM(B13:M13)</f>
        <v>7460.833333333335</v>
      </c>
      <c r="O13" s="227">
        <f>Ingresos!O7-'Costo de Ventas'!O11-'Gastos Fijos'!O10-Salarios!O22-Inversiones!O24+Extraordinarios!O3-SUMPRODUCT(O18:O19,$AF18:$AF19)-Financiamiento!O14-Financiamiento!O22+Financiamiento!O26</f>
        <v>1742.5694444444443</v>
      </c>
      <c r="P13" s="227">
        <f>Ingresos!P7-'Costo de Ventas'!P11-'Gastos Fijos'!P10-Salarios!P22-Inversiones!P24+Extraordinarios!P3-SUMPRODUCT(P18:P19,$AF18:$AF19)-Financiamiento!P14-Financiamiento!P22+Financiamiento!P26</f>
        <v>1742.5694444444443</v>
      </c>
      <c r="Q13" s="227">
        <f>Ingresos!Q7-'Costo de Ventas'!Q11-'Gastos Fijos'!Q10-Salarios!Q22-Inversiones!Q24+Extraordinarios!Q3-SUMPRODUCT(Q18:Q19,$AF18:$AF19)-Financiamiento!Q14-Financiamiento!Q22+Financiamiento!Q26</f>
        <v>1742.5694444444443</v>
      </c>
      <c r="R13" s="227">
        <f>Ingresos!R7-'Costo de Ventas'!R11-'Gastos Fijos'!R10-Salarios!R22-Inversiones!R24+Extraordinarios!R3-SUMPRODUCT(R18:R19,$AF18:$AF19)-Financiamiento!R14-Financiamiento!R22+Financiamiento!R26</f>
        <v>1742.5694444444443</v>
      </c>
      <c r="S13" s="227">
        <f>Ingresos!S7-'Costo de Ventas'!S11-'Gastos Fijos'!S10-Salarios!S22-Inversiones!S24+Extraordinarios!S3-SUMPRODUCT(S18:S19,$AF18:$AF19)-Financiamiento!S14-Financiamiento!S22+Financiamiento!S26</f>
        <v>1742.5694444444443</v>
      </c>
      <c r="T13" s="227">
        <f>Ingresos!T7-'Costo de Ventas'!T11-'Gastos Fijos'!T10-Salarios!T22-Inversiones!T24+Extraordinarios!T3-SUMPRODUCT(T18:T19,$AF18:$AF19)-Financiamiento!T14-Financiamiento!T22+Financiamiento!T26</f>
        <v>1742.5694444444443</v>
      </c>
      <c r="U13" s="227">
        <f>Ingresos!U7-'Costo de Ventas'!U11-'Gastos Fijos'!U10-Salarios!U22-Inversiones!U24+Extraordinarios!U3-SUMPRODUCT(U18:U19,$AF18:$AF19)-Financiamiento!U14-Financiamiento!U22+Financiamiento!U26</f>
        <v>1742.5694444444443</v>
      </c>
      <c r="V13" s="227">
        <f>Ingresos!V7-'Costo de Ventas'!V11-'Gastos Fijos'!V10-Salarios!V22-Inversiones!V24+Extraordinarios!V3-SUMPRODUCT(V18:V19,$AF18:$AF19)-Financiamiento!V14-Financiamiento!V22+Financiamiento!V26</f>
        <v>1742.5694444444443</v>
      </c>
      <c r="W13" s="227">
        <f>Ingresos!W7-'Costo de Ventas'!W11-'Gastos Fijos'!W10-Salarios!W22-Inversiones!W24+Extraordinarios!W3-SUMPRODUCT(W18:W19,$AF18:$AF19)-Financiamiento!W14-Financiamiento!W22+Financiamiento!W26</f>
        <v>1742.5694444444443</v>
      </c>
      <c r="X13" s="227">
        <f>Ingresos!X7-'Costo de Ventas'!X11-'Gastos Fijos'!X10-Salarios!X22-Inversiones!X24+Extraordinarios!X3-SUMPRODUCT(X18:X19,$AF18:$AF19)-Financiamiento!X14-Financiamiento!X22+Financiamiento!X26</f>
        <v>1742.5694444444443</v>
      </c>
      <c r="Y13" s="227">
        <f>Ingresos!Y7-'Costo de Ventas'!Y11-'Gastos Fijos'!Y10-Salarios!Y22-Inversiones!Y24+Extraordinarios!Y3-SUMPRODUCT(Y18:Y19,$AF18:$AF19)-Financiamiento!Y14-Financiamiento!Y22+Financiamiento!Y26</f>
        <v>1742.5694444444443</v>
      </c>
      <c r="Z13" s="227">
        <f>Ingresos!Z7-'Costo de Ventas'!Z11-'Gastos Fijos'!Z10-Salarios!Z22-Inversiones!Z24+Extraordinarios!Z3-SUMPRODUCT(Z18:Z19,$AF18:$AF19)-Financiamiento!Z14-Financiamiento!Z22+Financiamiento!Z26</f>
        <v>1742.5694444444443</v>
      </c>
      <c r="AA13" s="227">
        <f>SUM(O13:Z13)</f>
        <v>20910.83333333334</v>
      </c>
      <c r="AB13" s="227">
        <f>Ingresos!AB7-'Costo de Ventas'!AB11-'Gastos Fijos'!AB10-Salarios!AB22-Inversiones!AB24+Extraordinarios!AB3-SUMPRODUCT(AB18:AB19,$AF18:$AF19)-Financiamiento!AB14-Financiamiento!AB22+Financiamiento!AB26</f>
        <v>25390.833333333332</v>
      </c>
      <c r="AC13" s="227">
        <f>Ingresos!AC7-'Costo de Ventas'!AC11-'Gastos Fijos'!AC10-Salarios!AC22-Inversiones!AC24+Extraordinarios!AC3-SUMPRODUCT(AC18:AC19,$AF18:$AF19)-Financiamiento!AC14-Financiamiento!AC22+Financiamiento!AC26</f>
        <v>26234.833333333332</v>
      </c>
      <c r="AD13" s="227">
        <f>Ingresos!AD7-'Costo de Ventas'!AD11-'Gastos Fijos'!AD10-Salarios!AD22-Inversiones!AD24+Extraordinarios!AD3-SUMPRODUCT(AD18:AD19,$AF18:$AF19)-Financiamiento!AD14-Financiamiento!AD22+Financiamiento!AD26</f>
        <v>36042.833333333365</v>
      </c>
      <c r="AE13" s="199"/>
      <c r="AF13" s="199"/>
      <c r="AG13" s="199"/>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s="172" customFormat="1" ht="12.75" customHeight="1">
      <c r="A14" s="227" t="s">
        <v>39</v>
      </c>
      <c r="B14" s="227">
        <f>B13*B12</f>
        <v>124.34722222222223</v>
      </c>
      <c r="C14" s="227">
        <f aca="true" t="shared" si="7" ref="C14:M14">C13*C12</f>
        <v>124.34722222222223</v>
      </c>
      <c r="D14" s="227">
        <f t="shared" si="7"/>
        <v>124.34722222222223</v>
      </c>
      <c r="E14" s="227">
        <f t="shared" si="7"/>
        <v>124.34722222222223</v>
      </c>
      <c r="F14" s="227">
        <f t="shared" si="7"/>
        <v>124.34722222222223</v>
      </c>
      <c r="G14" s="227">
        <f t="shared" si="7"/>
        <v>124.34722222222223</v>
      </c>
      <c r="H14" s="227">
        <f t="shared" si="7"/>
        <v>124.34722222222223</v>
      </c>
      <c r="I14" s="227">
        <f t="shared" si="7"/>
        <v>124.34722222222223</v>
      </c>
      <c r="J14" s="227">
        <f t="shared" si="7"/>
        <v>124.34722222222223</v>
      </c>
      <c r="K14" s="227">
        <f t="shared" si="7"/>
        <v>124.34722222222223</v>
      </c>
      <c r="L14" s="227">
        <f t="shared" si="7"/>
        <v>124.34722222222223</v>
      </c>
      <c r="M14" s="227">
        <f t="shared" si="7"/>
        <v>124.34722222222223</v>
      </c>
      <c r="N14" s="227">
        <f>SUM(B14:M14)</f>
        <v>1492.1666666666663</v>
      </c>
      <c r="O14" s="227">
        <f aca="true" t="shared" si="8" ref="O14:Z14">O13*O12</f>
        <v>522.7708333333333</v>
      </c>
      <c r="P14" s="227">
        <f t="shared" si="8"/>
        <v>522.7708333333333</v>
      </c>
      <c r="Q14" s="227">
        <f t="shared" si="8"/>
        <v>522.7708333333333</v>
      </c>
      <c r="R14" s="227">
        <f t="shared" si="8"/>
        <v>522.7708333333333</v>
      </c>
      <c r="S14" s="227">
        <f t="shared" si="8"/>
        <v>522.7708333333333</v>
      </c>
      <c r="T14" s="227">
        <f t="shared" si="8"/>
        <v>522.7708333333333</v>
      </c>
      <c r="U14" s="227">
        <f t="shared" si="8"/>
        <v>522.7708333333333</v>
      </c>
      <c r="V14" s="227">
        <f t="shared" si="8"/>
        <v>522.7708333333333</v>
      </c>
      <c r="W14" s="227">
        <f t="shared" si="8"/>
        <v>522.7708333333333</v>
      </c>
      <c r="X14" s="227">
        <f t="shared" si="8"/>
        <v>522.7708333333333</v>
      </c>
      <c r="Y14" s="227">
        <f t="shared" si="8"/>
        <v>522.7708333333333</v>
      </c>
      <c r="Z14" s="227">
        <f t="shared" si="8"/>
        <v>522.7708333333333</v>
      </c>
      <c r="AA14" s="227">
        <f>SUM(O14:Z14)</f>
        <v>6273.249999999997</v>
      </c>
      <c r="AB14" s="227">
        <f>AB13*AB12</f>
        <v>7617.249999999999</v>
      </c>
      <c r="AC14" s="227">
        <f>AC13*AC12</f>
        <v>7870.449999999999</v>
      </c>
      <c r="AD14" s="227">
        <f>AD13*AD12</f>
        <v>10812.85000000001</v>
      </c>
      <c r="AE14" s="199"/>
      <c r="AF14" s="199"/>
      <c r="AG14" s="199"/>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s="172" customFormat="1" ht="15.75" customHeight="1">
      <c r="A15" s="227" t="s">
        <v>60</v>
      </c>
      <c r="B15" s="227">
        <f>B14+B16</f>
        <v>124.34722222222223</v>
      </c>
      <c r="C15" s="227">
        <f aca="true" t="shared" si="9" ref="C15:M15">C14+C16</f>
        <v>124.34722222222223</v>
      </c>
      <c r="D15" s="227">
        <f t="shared" si="9"/>
        <v>124.34722222222223</v>
      </c>
      <c r="E15" s="227">
        <f t="shared" si="9"/>
        <v>124.34722222222223</v>
      </c>
      <c r="F15" s="227">
        <f t="shared" si="9"/>
        <v>124.34722222222223</v>
      </c>
      <c r="G15" s="227">
        <f t="shared" si="9"/>
        <v>124.34722222222223</v>
      </c>
      <c r="H15" s="227">
        <f t="shared" si="9"/>
        <v>124.34722222222223</v>
      </c>
      <c r="I15" s="227">
        <f t="shared" si="9"/>
        <v>124.34722222222223</v>
      </c>
      <c r="J15" s="227">
        <f t="shared" si="9"/>
        <v>124.34722222222223</v>
      </c>
      <c r="K15" s="227">
        <f t="shared" si="9"/>
        <v>124.34722222222223</v>
      </c>
      <c r="L15" s="227">
        <f t="shared" si="9"/>
        <v>124.34722222222223</v>
      </c>
      <c r="M15" s="227">
        <f t="shared" si="9"/>
        <v>124.34722222222223</v>
      </c>
      <c r="N15" s="227">
        <f>SUM(B15:M15)</f>
        <v>1492.1666666666663</v>
      </c>
      <c r="O15" s="227">
        <f aca="true" t="shared" si="10" ref="O15:Z15">O14+O16</f>
        <v>522.7708333333333</v>
      </c>
      <c r="P15" s="227">
        <f t="shared" si="10"/>
        <v>522.7708333333333</v>
      </c>
      <c r="Q15" s="227">
        <f t="shared" si="10"/>
        <v>522.7708333333333</v>
      </c>
      <c r="R15" s="227">
        <f t="shared" si="10"/>
        <v>522.7708333333333</v>
      </c>
      <c r="S15" s="227">
        <f t="shared" si="10"/>
        <v>522.7708333333333</v>
      </c>
      <c r="T15" s="227">
        <f t="shared" si="10"/>
        <v>522.7708333333333</v>
      </c>
      <c r="U15" s="227">
        <f t="shared" si="10"/>
        <v>522.7708333333333</v>
      </c>
      <c r="V15" s="227">
        <f t="shared" si="10"/>
        <v>522.7708333333333</v>
      </c>
      <c r="W15" s="227">
        <f t="shared" si="10"/>
        <v>522.7708333333333</v>
      </c>
      <c r="X15" s="227">
        <f t="shared" si="10"/>
        <v>522.7708333333333</v>
      </c>
      <c r="Y15" s="227">
        <f t="shared" si="10"/>
        <v>522.7708333333333</v>
      </c>
      <c r="Z15" s="227">
        <f t="shared" si="10"/>
        <v>522.7708333333333</v>
      </c>
      <c r="AA15" s="227">
        <f>SUM(O15:Z15)</f>
        <v>6273.249999999997</v>
      </c>
      <c r="AB15" s="227">
        <f>AB14+AB16</f>
        <v>7617.249999999999</v>
      </c>
      <c r="AC15" s="227">
        <f>AC14+AC16</f>
        <v>7870.449999999999</v>
      </c>
      <c r="AD15" s="227">
        <f>AD14+AD16</f>
        <v>10812.85000000001</v>
      </c>
      <c r="AE15" s="199"/>
      <c r="AF15" s="199"/>
      <c r="AG15" s="199"/>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s="172" customFormat="1" ht="12.75" customHeight="1">
      <c r="A16" s="227" t="s">
        <v>43</v>
      </c>
      <c r="B16" s="227">
        <f>B17-'Valores de Inicio'!B9</f>
        <v>0</v>
      </c>
      <c r="C16" s="227">
        <f aca="true" t="shared" si="11" ref="C16:M16">C17-B17</f>
        <v>0</v>
      </c>
      <c r="D16" s="227">
        <f t="shared" si="11"/>
        <v>0</v>
      </c>
      <c r="E16" s="227">
        <f t="shared" si="11"/>
        <v>0</v>
      </c>
      <c r="F16" s="227">
        <f t="shared" si="11"/>
        <v>0</v>
      </c>
      <c r="G16" s="227">
        <f t="shared" si="11"/>
        <v>0</v>
      </c>
      <c r="H16" s="227">
        <f t="shared" si="11"/>
        <v>0</v>
      </c>
      <c r="I16" s="227">
        <f t="shared" si="11"/>
        <v>0</v>
      </c>
      <c r="J16" s="227">
        <f t="shared" si="11"/>
        <v>0</v>
      </c>
      <c r="K16" s="227">
        <f t="shared" si="11"/>
        <v>0</v>
      </c>
      <c r="L16" s="227">
        <f t="shared" si="11"/>
        <v>0</v>
      </c>
      <c r="M16" s="227">
        <f t="shared" si="11"/>
        <v>0</v>
      </c>
      <c r="N16" s="227">
        <f>SUM(B16:M16)</f>
        <v>0</v>
      </c>
      <c r="O16" s="227">
        <f aca="true" t="shared" si="12" ref="O16:Z16">O17-N17</f>
        <v>0</v>
      </c>
      <c r="P16" s="227">
        <f t="shared" si="12"/>
        <v>0</v>
      </c>
      <c r="Q16" s="227">
        <f t="shared" si="12"/>
        <v>0</v>
      </c>
      <c r="R16" s="227">
        <f t="shared" si="12"/>
        <v>0</v>
      </c>
      <c r="S16" s="227">
        <f t="shared" si="12"/>
        <v>0</v>
      </c>
      <c r="T16" s="227">
        <f t="shared" si="12"/>
        <v>0</v>
      </c>
      <c r="U16" s="227">
        <f t="shared" si="12"/>
        <v>0</v>
      </c>
      <c r="V16" s="227">
        <f t="shared" si="12"/>
        <v>0</v>
      </c>
      <c r="W16" s="227">
        <f t="shared" si="12"/>
        <v>0</v>
      </c>
      <c r="X16" s="227">
        <f t="shared" si="12"/>
        <v>0</v>
      </c>
      <c r="Y16" s="227">
        <f t="shared" si="12"/>
        <v>0</v>
      </c>
      <c r="Z16" s="227">
        <f t="shared" si="12"/>
        <v>0</v>
      </c>
      <c r="AA16" s="227">
        <f>SUM(O16:Z16)</f>
        <v>0</v>
      </c>
      <c r="AB16" s="227">
        <f>AB17-AA17</f>
        <v>0</v>
      </c>
      <c r="AC16" s="227">
        <f>AC17-AB17</f>
        <v>0</v>
      </c>
      <c r="AD16" s="227">
        <f>AD17-AC17</f>
        <v>0</v>
      </c>
      <c r="AE16" s="199"/>
      <c r="AF16" s="199"/>
      <c r="AG16" s="199"/>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s="172" customFormat="1" ht="12.75" customHeight="1">
      <c r="A17" s="227" t="s">
        <v>42</v>
      </c>
      <c r="B17" s="227">
        <f>IF(B14&lt;0,'Valores de Inicio'!B9-B14,IF(B14&lt;'Valores de Inicio'!B9,'Valores de Inicio'!B9-B14,0))</f>
        <v>0</v>
      </c>
      <c r="C17" s="227">
        <f aca="true" t="shared" si="13" ref="C17:M17">IF(C14&lt;0,B17-C14,IF(C14&lt;B17,B17-C14,0))</f>
        <v>0</v>
      </c>
      <c r="D17" s="227">
        <f t="shared" si="13"/>
        <v>0</v>
      </c>
      <c r="E17" s="227">
        <f t="shared" si="13"/>
        <v>0</v>
      </c>
      <c r="F17" s="227">
        <f t="shared" si="13"/>
        <v>0</v>
      </c>
      <c r="G17" s="227">
        <f t="shared" si="13"/>
        <v>0</v>
      </c>
      <c r="H17" s="227">
        <f t="shared" si="13"/>
        <v>0</v>
      </c>
      <c r="I17" s="227">
        <f t="shared" si="13"/>
        <v>0</v>
      </c>
      <c r="J17" s="227">
        <f t="shared" si="13"/>
        <v>0</v>
      </c>
      <c r="K17" s="227">
        <f t="shared" si="13"/>
        <v>0</v>
      </c>
      <c r="L17" s="227">
        <f t="shared" si="13"/>
        <v>0</v>
      </c>
      <c r="M17" s="227">
        <f t="shared" si="13"/>
        <v>0</v>
      </c>
      <c r="N17" s="227">
        <f>M17</f>
        <v>0</v>
      </c>
      <c r="O17" s="227">
        <f aca="true" t="shared" si="14" ref="O17:Z17">IF(O14&lt;0,N17-O14,IF(O14&lt;N17,N17-O14,0))</f>
        <v>0</v>
      </c>
      <c r="P17" s="227">
        <f t="shared" si="14"/>
        <v>0</v>
      </c>
      <c r="Q17" s="227">
        <f t="shared" si="14"/>
        <v>0</v>
      </c>
      <c r="R17" s="227">
        <f t="shared" si="14"/>
        <v>0</v>
      </c>
      <c r="S17" s="227">
        <f t="shared" si="14"/>
        <v>0</v>
      </c>
      <c r="T17" s="227">
        <f t="shared" si="14"/>
        <v>0</v>
      </c>
      <c r="U17" s="227">
        <f t="shared" si="14"/>
        <v>0</v>
      </c>
      <c r="V17" s="227">
        <f t="shared" si="14"/>
        <v>0</v>
      </c>
      <c r="W17" s="227">
        <f t="shared" si="14"/>
        <v>0</v>
      </c>
      <c r="X17" s="227">
        <f t="shared" si="14"/>
        <v>0</v>
      </c>
      <c r="Y17" s="227">
        <f t="shared" si="14"/>
        <v>0</v>
      </c>
      <c r="Z17" s="227">
        <f t="shared" si="14"/>
        <v>0</v>
      </c>
      <c r="AA17" s="227">
        <f>Z17</f>
        <v>0</v>
      </c>
      <c r="AB17" s="227">
        <f>IF(AB14&lt;0,AA17-AB14,IF(AB14&lt;AA17,AA17-AB14,0))</f>
        <v>0</v>
      </c>
      <c r="AC17" s="227">
        <f>IF(AC14&lt;0,AB17-AC14,IF(AC14&lt;AB17,AB17-AC14,0))</f>
        <v>0</v>
      </c>
      <c r="AD17" s="227">
        <f>IF(AD14&lt;0,AC17-AD14,IF(AD14&lt;AC17,AC17-AD14,0))</f>
        <v>0</v>
      </c>
      <c r="AE17" s="199"/>
      <c r="AF17" s="199"/>
      <c r="AG17" s="199"/>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33" s="145" customFormat="1" ht="12.75" customHeight="1">
      <c r="A18" s="223"/>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199"/>
      <c r="AF18" s="199"/>
      <c r="AG18" s="199"/>
    </row>
    <row r="19" spans="1:33" s="145" customFormat="1" ht="12.75" customHeight="1">
      <c r="A19" s="223"/>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199"/>
      <c r="AF19" s="199"/>
      <c r="AG19" s="199"/>
    </row>
    <row r="20" spans="1:33" s="145" customFormat="1" ht="15">
      <c r="A20" s="146" t="s">
        <v>58</v>
      </c>
      <c r="B20" s="146">
        <f aca="true" t="shared" si="15" ref="B20:M20">B14</f>
        <v>124.34722222222223</v>
      </c>
      <c r="C20" s="146">
        <f t="shared" si="15"/>
        <v>124.34722222222223</v>
      </c>
      <c r="D20" s="146">
        <f t="shared" si="15"/>
        <v>124.34722222222223</v>
      </c>
      <c r="E20" s="146">
        <f t="shared" si="15"/>
        <v>124.34722222222223</v>
      </c>
      <c r="F20" s="146">
        <f t="shared" si="15"/>
        <v>124.34722222222223</v>
      </c>
      <c r="G20" s="146">
        <f t="shared" si="15"/>
        <v>124.34722222222223</v>
      </c>
      <c r="H20" s="146">
        <f t="shared" si="15"/>
        <v>124.34722222222223</v>
      </c>
      <c r="I20" s="146">
        <f t="shared" si="15"/>
        <v>124.34722222222223</v>
      </c>
      <c r="J20" s="146">
        <f t="shared" si="15"/>
        <v>124.34722222222223</v>
      </c>
      <c r="K20" s="146">
        <f t="shared" si="15"/>
        <v>124.34722222222223</v>
      </c>
      <c r="L20" s="146">
        <f t="shared" si="15"/>
        <v>124.34722222222223</v>
      </c>
      <c r="M20" s="146">
        <f t="shared" si="15"/>
        <v>124.34722222222223</v>
      </c>
      <c r="N20" s="146">
        <f>SUM(B20:M20)</f>
        <v>1492.1666666666663</v>
      </c>
      <c r="O20" s="146">
        <f aca="true" t="shared" si="16" ref="O20:Z20">O14</f>
        <v>522.7708333333333</v>
      </c>
      <c r="P20" s="146">
        <f t="shared" si="16"/>
        <v>522.7708333333333</v>
      </c>
      <c r="Q20" s="146">
        <f t="shared" si="16"/>
        <v>522.7708333333333</v>
      </c>
      <c r="R20" s="146">
        <f t="shared" si="16"/>
        <v>522.7708333333333</v>
      </c>
      <c r="S20" s="146">
        <f t="shared" si="16"/>
        <v>522.7708333333333</v>
      </c>
      <c r="T20" s="146">
        <f t="shared" si="16"/>
        <v>522.7708333333333</v>
      </c>
      <c r="U20" s="146">
        <f t="shared" si="16"/>
        <v>522.7708333333333</v>
      </c>
      <c r="V20" s="146">
        <f t="shared" si="16"/>
        <v>522.7708333333333</v>
      </c>
      <c r="W20" s="146">
        <f t="shared" si="16"/>
        <v>522.7708333333333</v>
      </c>
      <c r="X20" s="146">
        <f t="shared" si="16"/>
        <v>522.7708333333333</v>
      </c>
      <c r="Y20" s="146">
        <f t="shared" si="16"/>
        <v>522.7708333333333</v>
      </c>
      <c r="Z20" s="146">
        <f t="shared" si="16"/>
        <v>522.7708333333333</v>
      </c>
      <c r="AA20" s="146">
        <f>SUM(O20:Z20)</f>
        <v>6273.249999999997</v>
      </c>
      <c r="AB20" s="146">
        <f>AB14</f>
        <v>7617.249999999999</v>
      </c>
      <c r="AC20" s="146">
        <f>AC14</f>
        <v>7870.449999999999</v>
      </c>
      <c r="AD20" s="146">
        <f>AD14</f>
        <v>10812.85000000001</v>
      </c>
      <c r="AE20" s="199"/>
      <c r="AF20" s="199"/>
      <c r="AG20" s="199"/>
    </row>
    <row r="21" spans="1:33" s="145" customFormat="1" ht="15">
      <c r="A21" s="199"/>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199"/>
      <c r="AF21" s="199"/>
      <c r="AG21" s="199"/>
    </row>
    <row r="22" spans="1:33" ht="14.25">
      <c r="A22" s="200"/>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00"/>
      <c r="AF22" s="200"/>
      <c r="AG22" s="200"/>
    </row>
    <row r="25" spans="31:36" ht="15">
      <c r="AE25" s="317" t="s">
        <v>251</v>
      </c>
      <c r="AF25" s="318"/>
      <c r="AG25" s="318"/>
      <c r="AH25" s="319"/>
      <c r="AI25" s="319"/>
      <c r="AJ25" s="320"/>
    </row>
    <row r="26" spans="28:36" ht="15">
      <c r="AB26" s="324"/>
      <c r="AE26" s="321" t="s">
        <v>252</v>
      </c>
      <c r="AF26" s="231"/>
      <c r="AG26" s="231"/>
      <c r="AH26" s="322"/>
      <c r="AI26" s="322"/>
      <c r="AJ26" s="323"/>
    </row>
    <row r="27" spans="31:36" ht="15">
      <c r="AE27" s="321" t="s">
        <v>253</v>
      </c>
      <c r="AF27" s="231"/>
      <c r="AG27" s="329">
        <v>535</v>
      </c>
      <c r="AH27" s="322"/>
      <c r="AI27" s="322"/>
      <c r="AJ27" s="323"/>
    </row>
    <row r="28" spans="31:36" ht="12.75">
      <c r="AE28" s="312"/>
      <c r="AF28" s="145"/>
      <c r="AG28" s="145"/>
      <c r="AH28" s="145"/>
      <c r="AI28" s="145"/>
      <c r="AJ28" s="313"/>
    </row>
    <row r="29" spans="31:36" ht="12.75">
      <c r="AE29" s="312" t="s">
        <v>254</v>
      </c>
      <c r="AF29" s="145"/>
      <c r="AG29" s="145"/>
      <c r="AH29" s="325">
        <f>52710000/AG27</f>
        <v>98523.3644859813</v>
      </c>
      <c r="AI29" s="326">
        <v>0.1</v>
      </c>
      <c r="AJ29" s="313"/>
    </row>
    <row r="30" spans="31:36" ht="12.75">
      <c r="AE30" s="312" t="s">
        <v>254</v>
      </c>
      <c r="AF30" s="145"/>
      <c r="AG30" s="145"/>
      <c r="AH30" s="325">
        <f>106026000/AG27</f>
        <v>198179.43925233645</v>
      </c>
      <c r="AI30" s="326">
        <v>0.2</v>
      </c>
      <c r="AJ30" s="313"/>
    </row>
    <row r="31" spans="31:36" ht="12.75">
      <c r="AE31" s="314" t="s">
        <v>255</v>
      </c>
      <c r="AF31" s="315"/>
      <c r="AG31" s="315"/>
      <c r="AH31" s="327">
        <f>106026000/AG27</f>
        <v>198179.43925233645</v>
      </c>
      <c r="AI31" s="328">
        <v>0.3</v>
      </c>
      <c r="AJ31" s="316"/>
    </row>
  </sheetData>
  <sheetProtection/>
  <printOptions/>
  <pageMargins left="0.75" right="0.75" top="1" bottom="1" header="0.5" footer="0.5"/>
  <pageSetup fitToHeight="0" fitToWidth="0"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Financiero Modelo</dc:title>
  <dc:subject>Competencia de Planes de Negocio 2013</dc:subject>
  <dc:creator>Emmanuel Gutiérrez Pizarro</dc:creator>
  <cp:keywords/>
  <dc:description/>
  <cp:lastModifiedBy>Emmanuel Gutiérrez Pizarro</cp:lastModifiedBy>
  <dcterms:created xsi:type="dcterms:W3CDTF">2014-09-02T15:47:57Z</dcterms:created>
  <dcterms:modified xsi:type="dcterms:W3CDTF">2015-09-03T23:20:30Z</dcterms:modified>
  <cp:category/>
  <cp:version/>
  <cp:contentType/>
  <cp:contentStatus/>
</cp:coreProperties>
</file>